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8F68DD2B-5E6A-4500-B3BF-DAD0D9B55FBC}" xr6:coauthVersionLast="47" xr6:coauthVersionMax="47" xr10:uidLastSave="{00000000-0000-0000-0000-000000000000}"/>
  <bookViews>
    <workbookView xWindow="-108" yWindow="-108" windowWidth="23256" windowHeight="12720" xr2:uid="{DC82758C-EB95-40BF-9F70-0748EE91A709}"/>
  </bookViews>
  <sheets>
    <sheet name="12" sheetId="1" r:id="rId1"/>
  </sheets>
  <externalReferences>
    <externalReference r:id="rId2"/>
  </externalReferences>
  <definedNames>
    <definedName name="newbasicPB4">[1]Sheet1!$T$4:$T$37</definedName>
    <definedName name="oldbasicPB4">[1]Sheet1!$S$4:$S$37</definedName>
    <definedName name="_xlnm.Print_Area" localSheetId="0">'12'!$J$1:$N$54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47" i="1" l="1"/>
  <c r="D144" i="1"/>
  <c r="D140" i="1"/>
  <c r="D146" i="1" s="1"/>
  <c r="E101" i="1"/>
  <c r="E100" i="1"/>
  <c r="E93" i="1"/>
  <c r="E87" i="1"/>
  <c r="C82" i="1"/>
  <c r="C83" i="1" s="1"/>
  <c r="E91" i="1" s="1"/>
  <c r="L79" i="1"/>
  <c r="G76" i="1"/>
  <c r="H74" i="1"/>
  <c r="E74" i="1" s="1"/>
  <c r="L73" i="1"/>
  <c r="M63" i="1"/>
  <c r="H61" i="1"/>
  <c r="L53" i="1"/>
  <c r="E47" i="1"/>
  <c r="G47" i="1" s="1"/>
  <c r="M44" i="1"/>
  <c r="M43" i="1"/>
  <c r="F40" i="1"/>
  <c r="D39" i="1"/>
  <c r="F38" i="1"/>
  <c r="D38" i="1"/>
  <c r="F37" i="1"/>
  <c r="D37" i="1"/>
  <c r="G33" i="1"/>
  <c r="B33" i="1"/>
  <c r="G32" i="1"/>
  <c r="F39" i="1" s="1"/>
  <c r="G31" i="1"/>
  <c r="H33" i="1" s="1"/>
  <c r="G28" i="1"/>
  <c r="F26" i="1"/>
  <c r="G26" i="1" s="1"/>
  <c r="F25" i="1"/>
  <c r="G24" i="1"/>
  <c r="G27" i="1" s="1"/>
  <c r="G29" i="1" s="1"/>
  <c r="G22" i="1"/>
  <c r="E45" i="1" s="1"/>
  <c r="G45" i="1" s="1"/>
  <c r="F22" i="1"/>
  <c r="F21" i="1"/>
  <c r="F17" i="1"/>
  <c r="G13" i="1"/>
  <c r="G15" i="1" s="1"/>
  <c r="L6" i="1"/>
  <c r="F6" i="1"/>
  <c r="F5" i="1"/>
  <c r="G7" i="1" s="1"/>
  <c r="I2" i="1"/>
  <c r="G8" i="1" l="1"/>
  <c r="G10" i="1" s="1"/>
  <c r="H11" i="1" s="1"/>
  <c r="M56" i="1"/>
  <c r="M58" i="1" s="1"/>
  <c r="M59" i="1" s="1"/>
  <c r="F16" i="1"/>
  <c r="G17" i="1" s="1"/>
  <c r="H17" i="1" s="1"/>
  <c r="H29" i="1"/>
  <c r="E46" i="1"/>
  <c r="G46" i="1" s="1"/>
  <c r="B37" i="1"/>
  <c r="G41" i="1"/>
  <c r="H41" i="1" s="1"/>
  <c r="M60" i="1" l="1"/>
  <c r="M61" i="1" s="1"/>
  <c r="M62" i="1"/>
  <c r="H35" i="1"/>
  <c r="E42" i="1" s="1"/>
  <c r="H42" i="1" s="1"/>
  <c r="E44" i="1" l="1"/>
  <c r="M45" i="1" l="1"/>
  <c r="M46" i="1" s="1"/>
  <c r="G44" i="1"/>
  <c r="G48" i="1" s="1"/>
  <c r="H49" i="1" s="1"/>
  <c r="H50" i="1" l="1"/>
  <c r="H51" i="1" s="1"/>
  <c r="H52" i="1" l="1"/>
  <c r="H53" i="1" s="1"/>
  <c r="H73" i="1" l="1"/>
  <c r="E86" i="1" l="1"/>
  <c r="E88" i="1" s="1"/>
  <c r="E73" i="1"/>
  <c r="E75" i="1" s="1"/>
  <c r="E76" i="1" s="1"/>
  <c r="E78" i="1" s="1"/>
  <c r="F78" i="1" s="1"/>
  <c r="G78" i="1" s="1"/>
  <c r="H78" i="1" s="1"/>
  <c r="E99" i="1"/>
  <c r="E105" i="1" s="1"/>
  <c r="E106" i="1" s="1"/>
  <c r="F106" i="1" s="1"/>
  <c r="H75" i="1"/>
  <c r="H76" i="1" s="1"/>
  <c r="E81" i="1" l="1"/>
  <c r="F81" i="1" s="1"/>
  <c r="G81" i="1" s="1"/>
  <c r="H81" i="1" s="1"/>
  <c r="E80" i="1"/>
  <c r="F80" i="1" s="1"/>
  <c r="G80" i="1" s="1"/>
  <c r="H80" i="1" s="1"/>
  <c r="H83" i="1" s="1"/>
  <c r="E79" i="1"/>
  <c r="F79" i="1" s="1"/>
  <c r="G79" i="1" s="1"/>
  <c r="H79" i="1" s="1"/>
  <c r="H100" i="1"/>
  <c r="K104" i="1"/>
  <c r="K103" i="1"/>
  <c r="E90" i="1"/>
  <c r="E92" i="1"/>
  <c r="K80" i="1" l="1"/>
  <c r="K81" i="1" s="1"/>
  <c r="E95" i="1"/>
  <c r="E96" i="1" s="1"/>
  <c r="F96" i="1" s="1"/>
  <c r="F92" i="1"/>
  <c r="H86" i="1" s="1"/>
  <c r="H101" i="1"/>
  <c r="H102" i="1" s="1"/>
  <c r="H105" i="1" l="1"/>
  <c r="H87" i="1"/>
  <c r="H88" i="1" s="1"/>
  <c r="H89" i="1" s="1"/>
  <c r="H90" i="1" s="1"/>
  <c r="H91" i="1" s="1"/>
  <c r="H92" i="1" s="1"/>
  <c r="K93" i="1"/>
  <c r="K94" i="1" s="1"/>
  <c r="H95" i="1" l="1"/>
  <c r="H71" i="1" s="1"/>
  <c r="H54" i="1" s="1"/>
  <c r="H56" i="1" s="1"/>
  <c r="H62" i="1" s="1"/>
  <c r="B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I2" authorId="0" shapeId="0" xr:uid="{B717D14D-E3D8-4036-A203-12BB79F80502}">
      <text>
        <r>
          <rPr>
            <b/>
            <sz val="8"/>
            <color indexed="81"/>
            <rFont val="Tahoma"/>
            <family val="2"/>
          </rPr>
          <t>RATHORE:</t>
        </r>
        <r>
          <rPr>
            <sz val="8"/>
            <color indexed="81"/>
            <rFont val="Tahoma"/>
            <family val="2"/>
          </rPr>
          <t xml:space="preserve">
</t>
        </r>
      </text>
    </comment>
    <comment ref="C58" authorId="0" shapeId="0" xr:uid="{373071F3-E46D-470E-A871-0F6AEFE8A2D0}">
      <text>
        <r>
          <rPr>
            <b/>
            <sz val="8"/>
            <color indexed="81"/>
            <rFont val="Tahoma"/>
            <family val="2"/>
          </rPr>
          <t>RATHORE:</t>
        </r>
        <r>
          <rPr>
            <sz val="8"/>
            <color indexed="81"/>
            <rFont val="Tahoma"/>
            <family val="2"/>
          </rPr>
          <t xml:space="preserve">
</t>
        </r>
      </text>
    </comment>
    <comment ref="C61" authorId="1" shapeId="0" xr:uid="{58C070F2-C9F4-4DC7-B903-73329503BF30}">
      <text>
        <r>
          <rPr>
            <b/>
            <sz val="8"/>
            <color indexed="81"/>
            <rFont val="Tahoma"/>
            <family val="2"/>
          </rPr>
          <t>rathore's:</t>
        </r>
        <r>
          <rPr>
            <sz val="8"/>
            <color indexed="81"/>
            <rFont val="Tahoma"/>
            <family val="2"/>
          </rPr>
          <t xml:space="preserve">
</t>
        </r>
      </text>
    </comment>
    <comment ref="B62" authorId="0" shapeId="0" xr:uid="{D2A4ED9F-B368-435A-8C40-A19E21C7135F}">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<sst xmlns="http://schemas.openxmlformats.org/spreadsheetml/2006/main" count="272" uniqueCount="252">
  <si>
    <t>Dr. V.K. Singhania's Book</t>
  </si>
  <si>
    <t xml:space="preserve">A S S E S S M E N T   Y E A R  :  2 0 2 2 - 2 3 </t>
  </si>
  <si>
    <t>Case-12 (Salary, Pension, Let Out, Sale of Listed Deb, Plot &amp; 54F, Lottery)</t>
  </si>
  <si>
    <t>Filing Date</t>
  </si>
  <si>
    <t>67th Edition:  August-2022</t>
  </si>
  <si>
    <t>Case Study-12</t>
  </si>
  <si>
    <t>Pg  562</t>
  </si>
  <si>
    <t>Raj Krishna Mukherji</t>
  </si>
  <si>
    <t xml:space="preserve">Pension (Ex-Employer) - Delhi </t>
  </si>
  <si>
    <r>
      <t xml:space="preserve">SALARIES </t>
    </r>
    <r>
      <rPr>
        <sz val="10"/>
        <color theme="1"/>
        <rFont val="Arial"/>
        <family val="2"/>
      </rPr>
      <t>U/S 15-17</t>
    </r>
  </si>
  <si>
    <t>Amount (Rs.)</t>
  </si>
  <si>
    <t xml:space="preserve">Working in Pune </t>
  </si>
  <si>
    <t xml:space="preserve">Due date </t>
  </si>
  <si>
    <t>Sec 17(1)</t>
  </si>
  <si>
    <t xml:space="preserve">Pension from Ex-Employer (Delhi) </t>
  </si>
  <si>
    <t xml:space="preserve">Basic Salary </t>
  </si>
  <si>
    <t xml:space="preserve">Basic Salary and Allowances  </t>
  </si>
  <si>
    <t xml:space="preserve">Commission </t>
  </si>
  <si>
    <t>Calculations</t>
  </si>
  <si>
    <t>Sec 17(2)</t>
  </si>
  <si>
    <t xml:space="preserve">Value of Perquisites </t>
  </si>
  <si>
    <t>Sec 17(3)</t>
  </si>
  <si>
    <t xml:space="preserve">Profit in lieu of Salary </t>
  </si>
  <si>
    <r>
      <t xml:space="preserve">Perquisites-Rent Free House </t>
    </r>
    <r>
      <rPr>
        <i/>
        <sz val="9"/>
        <color rgb="FF0000FF"/>
        <rFont val="Arial"/>
        <family val="2"/>
      </rPr>
      <t xml:space="preserve">(14L) </t>
    </r>
  </si>
  <si>
    <t xml:space="preserve">(15 % of 48L) </t>
  </si>
  <si>
    <t>Late Fees</t>
  </si>
  <si>
    <t xml:space="preserve">Gross Salary </t>
  </si>
  <si>
    <t xml:space="preserve">Perquisites-Medical  Facility </t>
  </si>
  <si>
    <t>Aug-Dec 22</t>
  </si>
  <si>
    <t>Sec 10</t>
  </si>
  <si>
    <t xml:space="preserve">Less Exempt Allowances </t>
  </si>
  <si>
    <t>Perquisites-Transport Facility  Rs. 40000</t>
  </si>
  <si>
    <t xml:space="preserve">Net Salary </t>
  </si>
  <si>
    <t xml:space="preserve">(It is not  a perquisite) </t>
  </si>
  <si>
    <t>Sec 16(ia)</t>
  </si>
  <si>
    <t>Less Standard  Deduction</t>
  </si>
  <si>
    <r>
      <t xml:space="preserve">HOUSE PROPERTY </t>
    </r>
    <r>
      <rPr>
        <sz val="10"/>
        <color theme="1"/>
        <rFont val="Arial"/>
        <family val="2"/>
      </rPr>
      <t>U/S 22-27</t>
    </r>
  </si>
  <si>
    <t xml:space="preserve">RENT  Received (Bhopal) </t>
  </si>
  <si>
    <t>MV-400000; FR-600000; Std Rent-500000</t>
  </si>
  <si>
    <t xml:space="preserve">Less Local Taxes paid </t>
  </si>
  <si>
    <t>Tenant- Not Allowed</t>
  </si>
  <si>
    <t xml:space="preserve">Rent Received (incl 80000 received in Next FY) </t>
  </si>
  <si>
    <t>No Unrealized Rent</t>
  </si>
  <si>
    <t>Municipal Taxes paid by Tenant</t>
  </si>
  <si>
    <t>Sec 24</t>
  </si>
  <si>
    <t xml:space="preserve">LESS: DEDUCTIONS  </t>
  </si>
  <si>
    <t>Std Ded 30%</t>
  </si>
  <si>
    <t xml:space="preserve">Intt on Loan for purchase  of Property (unpaid) </t>
  </si>
  <si>
    <r>
      <t xml:space="preserve">CAPITAL GAINS </t>
    </r>
    <r>
      <rPr>
        <sz val="10"/>
        <color theme="1"/>
        <rFont val="Arial"/>
        <family val="2"/>
      </rPr>
      <t>U/S 45 - 55</t>
    </r>
  </si>
  <si>
    <r>
      <rPr>
        <sz val="10"/>
        <color rgb="FFC00000"/>
        <rFont val="Arial"/>
        <family val="2"/>
      </rPr>
      <t xml:space="preserve">Listed </t>
    </r>
    <r>
      <rPr>
        <sz val="10"/>
        <color theme="1"/>
        <rFont val="Arial"/>
        <family val="2"/>
      </rPr>
      <t>Debentures sold  15-07-21</t>
    </r>
  </si>
  <si>
    <t>SHORT TERM CAPITAL GAIN</t>
  </si>
  <si>
    <t xml:space="preserve">Acq Cost (11-10-03) </t>
  </si>
  <si>
    <t>LONG TERM CAPITAL GAIN</t>
  </si>
  <si>
    <t>Investment in NHAI Bonds on 11-06-21</t>
  </si>
  <si>
    <t xml:space="preserve">NA for Deb/Plot </t>
  </si>
  <si>
    <t>Listed Deb</t>
  </si>
  <si>
    <t>Sale Proceeds (15-07-21)</t>
  </si>
  <si>
    <t xml:space="preserve">Indexation not allowed in Debentures </t>
  </si>
  <si>
    <t>Less Acq Cost (11-10-03)</t>
  </si>
  <si>
    <t xml:space="preserve">No Indexation </t>
  </si>
  <si>
    <t>Sale of Commercial Plot on 12-06-21</t>
  </si>
  <si>
    <t>Not Allowed</t>
  </si>
  <si>
    <t>Stamp Duty Value</t>
  </si>
  <si>
    <t>Comm Plot</t>
  </si>
  <si>
    <t>Sale proceeds  (12-06-21)</t>
  </si>
  <si>
    <t>Brokerage paid by Assessee</t>
  </si>
  <si>
    <t xml:space="preserve">Less Brokerage </t>
  </si>
  <si>
    <t>Acq Cost  (FY 2004-05)</t>
  </si>
  <si>
    <t xml:space="preserve">Less Indexed Acq Cost </t>
  </si>
  <si>
    <t>80000 * 317 /113</t>
  </si>
  <si>
    <r>
      <t xml:space="preserve">Bought Resi House (S Duty 3500,000) on </t>
    </r>
    <r>
      <rPr>
        <b/>
        <i/>
        <sz val="9"/>
        <color theme="1"/>
        <rFont val="Arial"/>
        <family val="2"/>
      </rPr>
      <t>20-07-22</t>
    </r>
  </si>
  <si>
    <t xml:space="preserve"> LTCG </t>
  </si>
  <si>
    <t>(New Resi House / Net Sale Proceeds for Tax  Purposes* LT Capital Gain)</t>
  </si>
  <si>
    <t>Sec 54F</t>
  </si>
  <si>
    <t>Purchase of Resi House   Rs. 3300,000 / 89,00,000 * 8675575</t>
  </si>
  <si>
    <t>Purchaser's Details</t>
  </si>
  <si>
    <t>Venketessh Ltd (PAN-BAACV2312T), 2/25, Ram Bagh, Madurai-625012</t>
  </si>
  <si>
    <r>
      <t xml:space="preserve">OTHER SOURCES </t>
    </r>
    <r>
      <rPr>
        <sz val="10"/>
        <color theme="1"/>
        <rFont val="Arial"/>
        <family val="2"/>
      </rPr>
      <t>U/S 56-59</t>
    </r>
  </si>
  <si>
    <t>Gift  (Inadequate Consideration)</t>
  </si>
  <si>
    <t>Nil</t>
  </si>
  <si>
    <t xml:space="preserve">Not Above 110% </t>
  </si>
  <si>
    <t xml:space="preserve">Saving Bank Interest </t>
  </si>
  <si>
    <t xml:space="preserve">Accrued Intt on NSCs </t>
  </si>
  <si>
    <t>190000 * .1023</t>
  </si>
  <si>
    <t xml:space="preserve">Fourth  year </t>
  </si>
  <si>
    <t xml:space="preserve">Winning from Lottery (No TDS) </t>
  </si>
  <si>
    <t xml:space="preserve">Winning from Lottery  (No TDS) </t>
  </si>
  <si>
    <t>GROSS TOTAL INCOME</t>
  </si>
  <si>
    <t xml:space="preserve">LESS: DEDUCTIONS UNDER CHAPTER VI-A </t>
  </si>
  <si>
    <t>Recognised Prov Fund</t>
  </si>
  <si>
    <t xml:space="preserve">Sec 80C </t>
  </si>
  <si>
    <t>Public Prov Fund</t>
  </si>
  <si>
    <t>Max 150000</t>
  </si>
  <si>
    <t>NSCs Purchased (06-04-2021)</t>
  </si>
  <si>
    <t>NSCs Purchased (07-06-2017)</t>
  </si>
  <si>
    <t>NSCs Purchased</t>
  </si>
  <si>
    <t>Sec 80TTA</t>
  </si>
  <si>
    <t xml:space="preserve">(Max 10000  allowed) </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</si>
  <si>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</si>
  <si>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</si>
  <si>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</si>
  <si>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</si>
  <si>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</si>
  <si>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</si>
  <si>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</si>
  <si>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</si>
  <si>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</si>
  <si>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</si>
  <si>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Deb</t>
  </si>
  <si>
    <t xml:space="preserve">LTCG </t>
  </si>
  <si>
    <t>SPECIAL INCOME</t>
  </si>
  <si>
    <t xml:space="preserve">      Above   1000,000</t>
  </si>
  <si>
    <t>Plot</t>
  </si>
  <si>
    <t xml:space="preserve">Lottery </t>
  </si>
  <si>
    <t>Details of Assets &amp; Liabilities</t>
  </si>
  <si>
    <t xml:space="preserve">Acq Cost </t>
  </si>
  <si>
    <t>Sec 87A</t>
  </si>
  <si>
    <r>
      <t xml:space="preserve">LESS : REBATE  </t>
    </r>
    <r>
      <rPr>
        <sz val="8"/>
        <color theme="1"/>
        <rFont val="Arial Narrow"/>
        <family val="2"/>
      </rPr>
      <t>(Rs. 12500, if Total Income upto Rs. 5 Lakhs)</t>
    </r>
  </si>
  <si>
    <t>Resi House Property</t>
  </si>
  <si>
    <r>
      <t xml:space="preserve">ADD : SURCHARGE  </t>
    </r>
    <r>
      <rPr>
        <sz val="8"/>
        <color theme="1"/>
        <rFont val="Arial"/>
        <family val="2"/>
      </rPr>
      <t>(10 % / 15% / 25% / 37%)</t>
    </r>
  </si>
  <si>
    <t>Bank Balance</t>
  </si>
  <si>
    <t>Motor Car (2018-19)</t>
  </si>
  <si>
    <t xml:space="preserve">ADD : HEALTH &amp; EDUCATION CESS (4 % on Income Tax + Surcharge) </t>
  </si>
  <si>
    <t>Cash in Hand</t>
  </si>
  <si>
    <r>
      <t>TOTAL TAX PAYABLE</t>
    </r>
    <r>
      <rPr>
        <sz val="10"/>
        <color theme="1"/>
        <rFont val="Arial"/>
        <family val="2"/>
      </rPr>
      <t xml:space="preserve"> (including Surcharge &amp; Cesses) </t>
    </r>
  </si>
  <si>
    <t xml:space="preserve">Total of Assets </t>
  </si>
  <si>
    <t xml:space="preserve">ADD : INTEREST U/S 234A, 234B &amp; 234C </t>
  </si>
  <si>
    <t>Interest till the Month of making Video i.e Oct-2022</t>
  </si>
  <si>
    <t xml:space="preserve">ADD : Late Fees U/S 234F </t>
  </si>
  <si>
    <t>Aug-Dec 2022</t>
  </si>
  <si>
    <t>TDS to be deducted  by the Ex-Employer</t>
  </si>
  <si>
    <t>TOTAL TAX AND INTEREST PAYABLE</t>
  </si>
  <si>
    <t xml:space="preserve">Salary after Std Deduction </t>
  </si>
  <si>
    <t xml:space="preserve">TAX PAID U/S 199 : </t>
  </si>
  <si>
    <t>Less Deds 80C</t>
  </si>
  <si>
    <t xml:space="preserve">ADVANCE TAX PAID U/S 210 </t>
  </si>
  <si>
    <t>T. D. S.  U/S 192 by Employer</t>
  </si>
  <si>
    <t xml:space="preserve">Income Tax </t>
  </si>
  <si>
    <t>T. D. S.  U/S 192 by Ex-Employer</t>
  </si>
  <si>
    <t xml:space="preserve">Surcharge </t>
  </si>
  <si>
    <t>SELF-ASSESSMENT TAX PAID U/S 140A</t>
  </si>
  <si>
    <t xml:space="preserve">HEC </t>
  </si>
  <si>
    <t>Rounding Off u/s 288B</t>
  </si>
  <si>
    <t xml:space="preserve">Tax Cals by Dr SB Rathore, Former Associate Professor of Commerce;  42 yrs Teaching Experience (Oct-77 to Dec-19) in Shyam Lal College (University of Delhi) </t>
  </si>
  <si>
    <t>TDS</t>
  </si>
  <si>
    <t>Website: www.taxclasses.in</t>
  </si>
  <si>
    <t xml:space="preserve">FaceBook: DrSB Rathore </t>
  </si>
  <si>
    <t>YouTube: Tax Doctor</t>
  </si>
  <si>
    <t>Part -B</t>
  </si>
  <si>
    <t>80C - 80GGC</t>
  </si>
  <si>
    <t>Part -C</t>
  </si>
  <si>
    <t>80H - 80RRB</t>
  </si>
  <si>
    <t>Part- CA</t>
  </si>
  <si>
    <t>80TTA, 80TTB</t>
  </si>
  <si>
    <t>Part-D</t>
  </si>
  <si>
    <t>80U</t>
  </si>
  <si>
    <t xml:space="preserve">Calculation  of Interest under Sections 234A, 234B &amp; 234C </t>
  </si>
  <si>
    <t>Total Interest</t>
  </si>
  <si>
    <t xml:space="preserve">Tax Rate </t>
  </si>
  <si>
    <t>Section 234C: In case of Non-Sr Citizen: If  Amount Exceeds Rs. 10000</t>
  </si>
  <si>
    <t>Surcharge</t>
  </si>
  <si>
    <t>Total Tax, Surcharge &amp; Cess</t>
  </si>
  <si>
    <t>Tax + SC + HEC</t>
  </si>
  <si>
    <t>Less TDS by the Employer, Bank</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</si>
  <si>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</si>
  <si>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</si>
  <si>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</si>
  <si>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</si>
  <si>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</si>
  <si>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</si>
  <si>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</si>
  <si>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</si>
  <si>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</si>
  <si>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</si>
  <si>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 xml:space="preserve">Nov </t>
  </si>
  <si>
    <t xml:space="preserve">Dec </t>
  </si>
  <si>
    <t>Section 234B:  If  Amount Exceeds Rs. 10000 (Less than 90 %.....)</t>
  </si>
  <si>
    <t xml:space="preserve"> Tax Liability after TDS</t>
  </si>
  <si>
    <t>Advance Tax   till 31-03-2022</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</si>
  <si>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</si>
  <si>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</si>
  <si>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</si>
  <si>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</si>
  <si>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</si>
  <si>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</si>
  <si>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 xml:space="preserve">Section 234A: </t>
  </si>
  <si>
    <t>Less Advance tax paid by 31-03-2021</t>
  </si>
  <si>
    <t>Interest u/s 234A</t>
  </si>
  <si>
    <t>Add Interest u/s 234C till 31-03-2021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</si>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</sst>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d\-mmm\-yy;@"/>
  </numFmts>
  <fonts count="81" x14ac:knownFonts="1">
    <font>
      <sz val="11"/>
      <color theme="1"/>
      <name val="Calibri"/>
      <family val="2"/>
      <scheme val="minor"/>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u/>
      <sz val="10"/>
      <color rgb="FFC00000"/>
      <name val="Arial"/>
      <family val="2"/>
    </font>
    <font>
      <sz val="8"/>
      <color rgb="FF0000FF"/>
      <name val="Arial"/>
      <family val="2"/>
    </font>
    <font>
      <i/>
      <sz val="10"/>
      <color theme="8" tint="-0.249977111117893"/>
      <name val="Arial"/>
      <family val="2"/>
    </font>
    <font>
      <sz val="10"/>
      <color theme="8" tint="-0.249977111117893"/>
      <name val="Arial"/>
      <family val="2"/>
    </font>
    <font>
      <b/>
      <sz val="10"/>
      <color theme="1"/>
      <name val="Arial"/>
      <family val="2"/>
    </font>
    <font>
      <b/>
      <sz val="10"/>
      <color rgb="FF0000FF"/>
      <name val="Arial"/>
      <family val="2"/>
    </font>
    <font>
      <i/>
      <sz val="9"/>
      <color theme="8" tint="-0.249977111117893"/>
      <name val="Arial"/>
      <family val="2"/>
    </font>
    <font>
      <i/>
      <sz val="9"/>
      <color rgb="FF0000FF"/>
      <name val="Arial"/>
      <family val="2"/>
    </font>
    <font>
      <b/>
      <sz val="8"/>
      <name val="Arial"/>
      <family val="2"/>
    </font>
    <font>
      <i/>
      <sz val="10"/>
      <color theme="1"/>
      <name val="Arial"/>
      <family val="2"/>
    </font>
    <font>
      <b/>
      <sz val="8"/>
      <color rgb="FF7030A0"/>
      <name val="Arial"/>
      <family val="2"/>
    </font>
    <font>
      <i/>
      <sz val="9"/>
      <color theme="1"/>
      <name val="Arial"/>
      <family val="2"/>
    </font>
    <font>
      <i/>
      <sz val="10"/>
      <color rgb="FFC00000"/>
      <name val="Arial"/>
      <family val="2"/>
    </font>
    <font>
      <sz val="10"/>
      <color rgb="FFC00000"/>
      <name val="Arial"/>
      <family val="2"/>
    </font>
    <font>
      <sz val="9"/>
      <color rgb="FF7030A0"/>
      <name val="Arial"/>
      <family val="2"/>
    </font>
    <font>
      <b/>
      <sz val="9"/>
      <color theme="1"/>
      <name val="Arial"/>
      <family val="2"/>
    </font>
    <font>
      <sz val="10"/>
      <color rgb="FFFF0000"/>
      <name val="Arial"/>
      <family val="2"/>
    </font>
    <font>
      <sz val="8"/>
      <color rgb="FFC00000"/>
      <name val="Arial"/>
      <family val="2"/>
    </font>
    <font>
      <b/>
      <sz val="9"/>
      <color rgb="FF7030A0"/>
      <name val="Arial"/>
      <family val="2"/>
    </font>
    <font>
      <i/>
      <sz val="9"/>
      <color rgb="FFC00000"/>
      <name val="Arial"/>
      <family val="2"/>
    </font>
    <font>
      <sz val="8"/>
      <color rgb="FFFF0000"/>
      <name val="Arial"/>
      <family val="2"/>
    </font>
    <font>
      <sz val="9"/>
      <color rgb="FFFF0000"/>
      <name val="Arial"/>
      <family val="2"/>
    </font>
    <font>
      <b/>
      <i/>
      <sz val="9"/>
      <color theme="1"/>
      <name val="Arial"/>
      <family val="2"/>
    </font>
    <font>
      <b/>
      <i/>
      <sz val="10"/>
      <color rgb="FF7030A0"/>
      <name val="Arial Narrow"/>
      <family val="2"/>
    </font>
    <font>
      <b/>
      <i/>
      <sz val="8"/>
      <color rgb="FF7030A0"/>
      <name val="Arial"/>
      <family val="2"/>
    </font>
    <font>
      <i/>
      <sz val="8"/>
      <color rgb="FF0000FF"/>
      <name val="Arial"/>
      <family val="2"/>
    </font>
    <font>
      <b/>
      <sz val="9"/>
      <color rgb="FF0000FF"/>
      <name val="Arial Narrow"/>
      <family val="2"/>
    </font>
    <font>
      <sz val="8"/>
      <color theme="1"/>
      <name val="Arial Narrow"/>
      <family val="2"/>
    </font>
    <font>
      <sz val="9"/>
      <name val="Arial"/>
      <family val="2"/>
    </font>
    <font>
      <u/>
      <sz val="10"/>
      <color theme="1"/>
      <name val="Arial"/>
      <family val="2"/>
    </font>
    <font>
      <sz val="10"/>
      <color theme="3" tint="-0.249977111117893"/>
      <name val="Arial"/>
      <family val="2"/>
    </font>
    <font>
      <i/>
      <u/>
      <sz val="10"/>
      <color theme="1"/>
      <name val="Arial"/>
      <family val="2"/>
    </font>
    <font>
      <sz val="11"/>
      <color rgb="FF515656"/>
      <name val="Arial"/>
      <family val="2"/>
    </font>
    <font>
      <i/>
      <sz val="8"/>
      <color theme="1"/>
      <name val="Arial"/>
      <family val="2"/>
    </font>
    <font>
      <b/>
      <sz val="9"/>
      <color rgb="FF0000FF"/>
      <name val="Arial"/>
      <family val="2"/>
    </font>
    <font>
      <b/>
      <sz val="10"/>
      <color rgb="FFC00000"/>
      <name val="Arial Narrow"/>
      <family val="2"/>
    </font>
    <font>
      <sz val="8"/>
      <color rgb="FFFF0000"/>
      <name val="Arial Narrow"/>
      <family val="2"/>
    </font>
    <font>
      <sz val="10"/>
      <color theme="1"/>
      <name val="Arial Narrow"/>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b/>
      <sz val="10"/>
      <color rgb="FF00B050"/>
      <name val="Arial"/>
      <family val="2"/>
    </font>
    <font>
      <b/>
      <sz val="9"/>
      <color rgb="FF00B050"/>
      <name val="Arial"/>
      <family val="2"/>
    </font>
    <font>
      <b/>
      <sz val="10"/>
      <color indexed="12"/>
      <name val="Arial"/>
      <family val="2"/>
    </font>
    <font>
      <b/>
      <sz val="10"/>
      <name val="Arial"/>
      <family val="2"/>
    </font>
    <font>
      <b/>
      <sz val="9"/>
      <color theme="9" tint="-0.249977111117893"/>
      <name val="Arial"/>
      <family val="2"/>
    </font>
    <font>
      <sz val="10"/>
      <color indexed="12"/>
      <name val="Arial"/>
      <family val="2"/>
    </font>
    <font>
      <i/>
      <sz val="10"/>
      <name val="Arial"/>
      <family val="2"/>
    </font>
    <font>
      <i/>
      <sz val="10"/>
      <color rgb="FFFF000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307">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4" fillId="0" borderId="4" xfId="1" applyFont="1" applyBorder="1" applyAlignment="1">
      <alignment horizontal="center"/>
    </xf>
    <xf numFmtId="0" fontId="4" fillId="0" borderId="0" xfId="1" applyFont="1" applyAlignment="1">
      <alignment horizontal="center"/>
    </xf>
    <xf numFmtId="0" fontId="4" fillId="0" borderId="5" xfId="1" applyFont="1" applyBorder="1" applyAlignment="1">
      <alignment horizontal="center"/>
    </xf>
    <xf numFmtId="0" fontId="5" fillId="0" borderId="6" xfId="1" applyFont="1" applyBorder="1" applyAlignment="1">
      <alignment horizontal="center"/>
    </xf>
    <xf numFmtId="0" fontId="3" fillId="0" borderId="0" xfId="1" applyFont="1"/>
    <xf numFmtId="0" fontId="6" fillId="0" borderId="7" xfId="1" applyFont="1" applyBorder="1" applyAlignment="1">
      <alignment horizontal="center" shrinkToFit="1"/>
    </xf>
    <xf numFmtId="0" fontId="6" fillId="0" borderId="8" xfId="1" applyFont="1" applyBorder="1" applyAlignment="1">
      <alignment horizontal="center" shrinkToFit="1"/>
    </xf>
    <xf numFmtId="0" fontId="7" fillId="0" borderId="8" xfId="1" applyFont="1" applyBorder="1" applyAlignment="1">
      <alignment horizontal="center"/>
    </xf>
    <xf numFmtId="0" fontId="8" fillId="0" borderId="8" xfId="1" applyFont="1" applyBorder="1" applyAlignment="1">
      <alignment horizontal="center"/>
    </xf>
    <xf numFmtId="0" fontId="9" fillId="0" borderId="8" xfId="1" applyFont="1" applyBorder="1" applyAlignment="1">
      <alignment horizontal="center"/>
    </xf>
    <xf numFmtId="15" fontId="10" fillId="0" borderId="8" xfId="1" applyNumberFormat="1" applyFont="1" applyBorder="1" applyAlignment="1">
      <alignment horizontal="center"/>
    </xf>
    <xf numFmtId="1" fontId="11" fillId="2" borderId="9" xfId="1" applyNumberFormat="1" applyFont="1" applyFill="1" applyBorder="1" applyAlignment="1">
      <alignment horizontal="center" shrinkToFit="1"/>
    </xf>
    <xf numFmtId="0" fontId="12" fillId="0" borderId="0" xfId="1" applyFont="1" applyAlignment="1">
      <alignment horizontal="center"/>
    </xf>
    <xf numFmtId="0" fontId="12" fillId="0" borderId="0" xfId="1" applyFont="1"/>
    <xf numFmtId="0" fontId="12" fillId="3" borderId="0" xfId="1" applyFont="1" applyFill="1"/>
    <xf numFmtId="15" fontId="5" fillId="0" borderId="10" xfId="1" applyNumberFormat="1" applyFont="1" applyBorder="1" applyAlignment="1">
      <alignment horizontal="center"/>
    </xf>
    <xf numFmtId="1" fontId="8" fillId="0" borderId="4" xfId="1" applyNumberFormat="1" applyFont="1" applyBorder="1" applyAlignment="1">
      <alignment horizontal="center" shrinkToFit="1"/>
    </xf>
    <xf numFmtId="0" fontId="13" fillId="0" borderId="0" xfId="1" applyFont="1"/>
    <xf numFmtId="0" fontId="12" fillId="0" borderId="11" xfId="1" applyFont="1" applyBorder="1"/>
    <xf numFmtId="0" fontId="14" fillId="0" borderId="0" xfId="1" applyFont="1" applyAlignment="1">
      <alignment horizontal="center"/>
    </xf>
    <xf numFmtId="0" fontId="14" fillId="0" borderId="5" xfId="1" applyFont="1" applyBorder="1" applyAlignment="1">
      <alignment horizontal="center"/>
    </xf>
    <xf numFmtId="0" fontId="15" fillId="0" borderId="0" xfId="1" applyFont="1"/>
    <xf numFmtId="0" fontId="10" fillId="0" borderId="10" xfId="1" applyFont="1" applyBorder="1" applyAlignment="1">
      <alignment horizontal="center"/>
    </xf>
    <xf numFmtId="0" fontId="16" fillId="0" borderId="0" xfId="1" applyFont="1"/>
    <xf numFmtId="0" fontId="5" fillId="0" borderId="0" xfId="1" applyFont="1" applyAlignment="1">
      <alignment horizontal="left"/>
    </xf>
    <xf numFmtId="0" fontId="9" fillId="0" borderId="0" xfId="1" applyFont="1"/>
    <xf numFmtId="1" fontId="9" fillId="4" borderId="0" xfId="1" applyNumberFormat="1" applyFont="1" applyFill="1"/>
    <xf numFmtId="0" fontId="14" fillId="0" borderId="12" xfId="1" applyFont="1" applyBorder="1" applyAlignment="1">
      <alignment horizontal="center"/>
    </xf>
    <xf numFmtId="1" fontId="17" fillId="0" borderId="0" xfId="1" applyNumberFormat="1" applyFont="1"/>
    <xf numFmtId="0" fontId="18" fillId="0" borderId="0" xfId="1" applyFont="1"/>
    <xf numFmtId="0" fontId="12" fillId="0" borderId="0" xfId="1" applyFont="1" applyAlignment="1">
      <alignment horizontal="right"/>
    </xf>
    <xf numFmtId="15" fontId="10" fillId="0" borderId="10" xfId="1" applyNumberFormat="1" applyFont="1" applyBorder="1" applyAlignment="1">
      <alignment horizontal="center"/>
    </xf>
    <xf numFmtId="0" fontId="8" fillId="0" borderId="4" xfId="1" applyFont="1" applyBorder="1" applyAlignment="1">
      <alignment horizontal="center" shrinkToFit="1"/>
    </xf>
    <xf numFmtId="0" fontId="8" fillId="0" borderId="0" xfId="1" applyFont="1"/>
    <xf numFmtId="0" fontId="7" fillId="0" borderId="0" xfId="1" applyFont="1" applyAlignment="1">
      <alignment horizontal="left"/>
    </xf>
    <xf numFmtId="1" fontId="12" fillId="4" borderId="0" xfId="1" applyNumberFormat="1" applyFont="1" applyFill="1"/>
    <xf numFmtId="1" fontId="19" fillId="0" borderId="12" xfId="1" applyNumberFormat="1" applyFont="1" applyBorder="1"/>
    <xf numFmtId="1" fontId="19" fillId="0" borderId="5" xfId="1" applyNumberFormat="1" applyFont="1" applyBorder="1"/>
    <xf numFmtId="0" fontId="17" fillId="0" borderId="0" xfId="1" applyFont="1"/>
    <xf numFmtId="0" fontId="8" fillId="0" borderId="10" xfId="1" applyFont="1" applyBorder="1" applyAlignment="1">
      <alignment horizontal="center"/>
    </xf>
    <xf numFmtId="0" fontId="20" fillId="0" borderId="13" xfId="1" applyFont="1" applyBorder="1" applyAlignment="1">
      <alignment horizontal="right" vertical="center"/>
    </xf>
    <xf numFmtId="17" fontId="7" fillId="0" borderId="14" xfId="1" applyNumberFormat="1" applyFont="1" applyBorder="1" applyAlignment="1">
      <alignment horizontal="center"/>
    </xf>
    <xf numFmtId="1" fontId="12" fillId="4" borderId="15" xfId="1" applyNumberFormat="1" applyFont="1" applyFill="1" applyBorder="1"/>
    <xf numFmtId="1" fontId="12" fillId="0" borderId="16" xfId="1" applyNumberFormat="1" applyFont="1" applyBorder="1"/>
    <xf numFmtId="0" fontId="21" fillId="0" borderId="0" xfId="1" applyFont="1"/>
    <xf numFmtId="0" fontId="10" fillId="0" borderId="0" xfId="1" applyFont="1"/>
    <xf numFmtId="0" fontId="23" fillId="3" borderId="6" xfId="1" applyFont="1" applyFill="1" applyBorder="1" applyAlignment="1">
      <alignment horizontal="center"/>
    </xf>
    <xf numFmtId="0" fontId="24" fillId="0" borderId="0" xfId="1" applyFont="1" applyAlignment="1">
      <alignment horizontal="right"/>
    </xf>
    <xf numFmtId="1" fontId="12" fillId="0" borderId="0" xfId="1" applyNumberFormat="1" applyFont="1"/>
    <xf numFmtId="17" fontId="25" fillId="0" borderId="10" xfId="1" applyNumberFormat="1" applyFont="1" applyBorder="1" applyAlignment="1">
      <alignment horizontal="center"/>
    </xf>
    <xf numFmtId="0" fontId="26" fillId="0" borderId="0" xfId="1" applyFont="1"/>
    <xf numFmtId="1" fontId="12" fillId="4" borderId="16" xfId="1" applyNumberFormat="1" applyFont="1" applyFill="1" applyBorder="1"/>
    <xf numFmtId="1" fontId="19" fillId="0" borderId="0" xfId="1" applyNumberFormat="1" applyFont="1"/>
    <xf numFmtId="0" fontId="27" fillId="0" borderId="0" xfId="1" applyFont="1"/>
    <xf numFmtId="0" fontId="28" fillId="0" borderId="0" xfId="1" applyFont="1"/>
    <xf numFmtId="0" fontId="29" fillId="0" borderId="14" xfId="1" applyFont="1" applyBorder="1" applyAlignment="1">
      <alignment horizontal="center"/>
    </xf>
    <xf numFmtId="1" fontId="12" fillId="0" borderId="11" xfId="1" applyNumberFormat="1" applyFont="1" applyBorder="1"/>
    <xf numFmtId="0" fontId="9" fillId="0" borderId="0" xfId="1" applyFont="1" applyAlignment="1">
      <alignment vertical="top"/>
    </xf>
    <xf numFmtId="0" fontId="7" fillId="0" borderId="0" xfId="1" applyFont="1"/>
    <xf numFmtId="0" fontId="30" fillId="0" borderId="0" xfId="1" applyFont="1"/>
    <xf numFmtId="0" fontId="10" fillId="0" borderId="0" xfId="1" applyFont="1" applyAlignment="1">
      <alignment horizontal="right"/>
    </xf>
    <xf numFmtId="0" fontId="5" fillId="0" borderId="0" xfId="1" applyFont="1" applyAlignment="1">
      <alignment horizontal="center"/>
    </xf>
    <xf numFmtId="0" fontId="12" fillId="5" borderId="0" xfId="1" applyFont="1" applyFill="1"/>
    <xf numFmtId="0" fontId="30" fillId="0" borderId="5" xfId="1" applyFont="1" applyBorder="1" applyAlignment="1">
      <alignment horizontal="center"/>
    </xf>
    <xf numFmtId="0" fontId="12" fillId="0" borderId="0" xfId="1" applyFont="1" applyAlignment="1">
      <alignment horizontal="left"/>
    </xf>
    <xf numFmtId="0" fontId="12" fillId="5" borderId="16" xfId="1" applyFont="1" applyFill="1" applyBorder="1"/>
    <xf numFmtId="0" fontId="31" fillId="0" borderId="0" xfId="1" applyFont="1"/>
    <xf numFmtId="0" fontId="12" fillId="0" borderId="15" xfId="1" applyFont="1" applyBorder="1" applyAlignment="1">
      <alignment horizontal="right"/>
    </xf>
    <xf numFmtId="0" fontId="12" fillId="0" borderId="15" xfId="1" applyFont="1" applyBorder="1"/>
    <xf numFmtId="9" fontId="32" fillId="0" borderId="0" xfId="1" applyNumberFormat="1" applyFont="1"/>
    <xf numFmtId="0" fontId="19" fillId="0" borderId="16" xfId="1" applyFont="1" applyBorder="1"/>
    <xf numFmtId="0" fontId="12" fillId="6" borderId="0" xfId="1" applyFont="1" applyFill="1"/>
    <xf numFmtId="0" fontId="33" fillId="0" borderId="0" xfId="1" applyFont="1"/>
    <xf numFmtId="9" fontId="5" fillId="0" borderId="4" xfId="1" applyNumberFormat="1" applyFont="1" applyBorder="1" applyAlignment="1">
      <alignment horizontal="center"/>
    </xf>
    <xf numFmtId="0" fontId="28" fillId="6" borderId="0" xfId="1" applyFont="1" applyFill="1"/>
    <xf numFmtId="0" fontId="12" fillId="6" borderId="0" xfId="1" applyFont="1" applyFill="1" applyAlignment="1">
      <alignment horizontal="center"/>
    </xf>
    <xf numFmtId="0" fontId="34" fillId="0" borderId="4" xfId="1" applyFont="1" applyBorder="1" applyAlignment="1">
      <alignment horizontal="center"/>
    </xf>
    <xf numFmtId="0" fontId="24" fillId="6" borderId="0" xfId="1" applyFont="1" applyFill="1" applyAlignment="1">
      <alignment horizontal="left" indent="1"/>
    </xf>
    <xf numFmtId="0" fontId="35" fillId="6" borderId="0" xfId="1" applyFont="1" applyFill="1" applyAlignment="1">
      <alignment horizontal="center"/>
    </xf>
    <xf numFmtId="0" fontId="12" fillId="6" borderId="15" xfId="1" applyFont="1" applyFill="1" applyBorder="1"/>
    <xf numFmtId="0" fontId="19" fillId="6" borderId="17" xfId="1" applyFont="1" applyFill="1" applyBorder="1"/>
    <xf numFmtId="0" fontId="36" fillId="0" borderId="0" xfId="1" applyFont="1" applyAlignment="1">
      <alignment horizontal="center"/>
    </xf>
    <xf numFmtId="0" fontId="26" fillId="6" borderId="0" xfId="1" applyFont="1" applyFill="1"/>
    <xf numFmtId="0" fontId="10" fillId="6" borderId="0" xfId="1" applyFont="1" applyFill="1" applyAlignment="1">
      <alignment horizontal="center"/>
    </xf>
    <xf numFmtId="9" fontId="31" fillId="0" borderId="0" xfId="1" applyNumberFormat="1" applyFont="1" applyAlignment="1">
      <alignment horizontal="center"/>
    </xf>
    <xf numFmtId="9" fontId="16" fillId="0" borderId="4" xfId="1" applyNumberFormat="1" applyFont="1" applyBorder="1" applyAlignment="1">
      <alignment horizontal="center" shrinkToFit="1"/>
    </xf>
    <xf numFmtId="49" fontId="12" fillId="0" borderId="0" xfId="1" applyNumberFormat="1" applyFont="1"/>
    <xf numFmtId="0" fontId="24" fillId="0" borderId="0" xfId="1" applyFont="1" applyAlignment="1">
      <alignment horizontal="left" indent="1"/>
    </xf>
    <xf numFmtId="14" fontId="1" fillId="0" borderId="0" xfId="1" applyNumberFormat="1"/>
    <xf numFmtId="0" fontId="7" fillId="0" borderId="0" xfId="1" applyFont="1" applyAlignment="1">
      <alignment horizontal="center"/>
    </xf>
    <xf numFmtId="0" fontId="12" fillId="0" borderId="16" xfId="1" applyFont="1" applyBorder="1"/>
    <xf numFmtId="0" fontId="7" fillId="0" borderId="0" xfId="1" applyFont="1" applyAlignment="1">
      <alignment horizontal="right"/>
    </xf>
    <xf numFmtId="0" fontId="38" fillId="0" borderId="0" xfId="1" applyFont="1"/>
    <xf numFmtId="0" fontId="29" fillId="0" borderId="0" xfId="1" applyFont="1" applyAlignment="1">
      <alignment horizontal="center"/>
    </xf>
    <xf numFmtId="0" fontId="39" fillId="0" borderId="0" xfId="1" applyFont="1"/>
    <xf numFmtId="0" fontId="10" fillId="0" borderId="0" xfId="1" applyFont="1" applyAlignment="1">
      <alignment horizontal="center"/>
    </xf>
    <xf numFmtId="0" fontId="27" fillId="0" borderId="16" xfId="1" applyFont="1" applyBorder="1" applyAlignment="1">
      <alignment horizontal="right"/>
    </xf>
    <xf numFmtId="0" fontId="5" fillId="7" borderId="0" xfId="1" applyFont="1" applyFill="1"/>
    <xf numFmtId="0" fontId="12" fillId="7" borderId="0" xfId="1" applyFont="1" applyFill="1"/>
    <xf numFmtId="0" fontId="33" fillId="7" borderId="0" xfId="1" applyFont="1" applyFill="1" applyAlignment="1">
      <alignment horizontal="left"/>
    </xf>
    <xf numFmtId="0" fontId="8" fillId="0" borderId="4" xfId="1" applyFont="1" applyBorder="1" applyAlignment="1">
      <alignment horizontal="center" shrinkToFit="1"/>
    </xf>
    <xf numFmtId="0" fontId="8" fillId="0" borderId="0" xfId="1" applyFont="1" applyAlignment="1">
      <alignment horizontal="center" shrinkToFit="1"/>
    </xf>
    <xf numFmtId="0" fontId="40" fillId="0" borderId="0" xfId="1" applyFont="1" applyAlignment="1">
      <alignment horizontal="center"/>
    </xf>
    <xf numFmtId="0" fontId="19" fillId="0" borderId="17" xfId="1" applyFont="1" applyBorder="1"/>
    <xf numFmtId="0" fontId="22" fillId="0" borderId="0" xfId="1" applyFont="1"/>
    <xf numFmtId="0" fontId="41" fillId="0" borderId="0" xfId="1" applyFont="1"/>
    <xf numFmtId="0" fontId="42" fillId="0" borderId="0" xfId="1" applyFont="1" applyAlignment="1">
      <alignment horizontal="center"/>
    </xf>
    <xf numFmtId="0" fontId="1" fillId="0" borderId="0" xfId="1" applyAlignment="1">
      <alignment horizontal="left"/>
    </xf>
    <xf numFmtId="15" fontId="43" fillId="0" borderId="0" xfId="1" applyNumberFormat="1" applyFont="1" applyAlignment="1">
      <alignment horizontal="center"/>
    </xf>
    <xf numFmtId="0" fontId="1" fillId="0" borderId="0" xfId="1"/>
    <xf numFmtId="1" fontId="12" fillId="5" borderId="16" xfId="1" applyNumberFormat="1" applyFont="1" applyFill="1" applyBorder="1"/>
    <xf numFmtId="1" fontId="19" fillId="0" borderId="18" xfId="1" applyNumberFormat="1" applyFont="1" applyBorder="1"/>
    <xf numFmtId="1" fontId="20" fillId="0" borderId="19" xfId="1" applyNumberFormat="1" applyFont="1" applyBorder="1"/>
    <xf numFmtId="1" fontId="20" fillId="0" borderId="5" xfId="1" applyNumberFormat="1" applyFont="1" applyBorder="1"/>
    <xf numFmtId="0" fontId="44" fillId="0" borderId="0" xfId="1" applyFont="1"/>
    <xf numFmtId="0" fontId="45" fillId="0" borderId="0" xfId="1" applyFont="1"/>
    <xf numFmtId="0" fontId="46" fillId="0" borderId="0" xfId="1" applyFont="1"/>
    <xf numFmtId="0" fontId="5" fillId="0" borderId="0" xfId="1" applyFont="1"/>
    <xf numFmtId="10" fontId="9" fillId="0" borderId="0" xfId="1" applyNumberFormat="1" applyFont="1" applyAlignment="1">
      <alignment horizontal="center"/>
    </xf>
    <xf numFmtId="0" fontId="16" fillId="0" borderId="0" xfId="1" applyFont="1" applyAlignment="1">
      <alignment horizontal="center" vertical="top"/>
    </xf>
    <xf numFmtId="0" fontId="12" fillId="5" borderId="15" xfId="1" applyFont="1" applyFill="1" applyBorder="1"/>
    <xf numFmtId="0" fontId="47" fillId="0" borderId="0" xfId="1" applyFont="1"/>
    <xf numFmtId="0" fontId="19" fillId="0" borderId="0" xfId="1" applyFont="1" applyAlignment="1">
      <alignment vertical="center"/>
    </xf>
    <xf numFmtId="1" fontId="42" fillId="0" borderId="0" xfId="1" applyNumberFormat="1" applyFont="1" applyAlignment="1">
      <alignment horizontal="left"/>
    </xf>
    <xf numFmtId="0" fontId="42" fillId="0" borderId="0" xfId="1" applyFont="1" applyAlignment="1">
      <alignment horizontal="left"/>
    </xf>
    <xf numFmtId="0" fontId="8" fillId="0" borderId="0" xfId="1" applyFont="1" applyAlignment="1">
      <alignment horizontal="right"/>
    </xf>
    <xf numFmtId="1" fontId="19" fillId="3" borderId="20" xfId="1" applyNumberFormat="1" applyFont="1" applyFill="1" applyBorder="1"/>
    <xf numFmtId="1" fontId="19" fillId="3" borderId="21" xfId="1" applyNumberFormat="1" applyFont="1" applyFill="1" applyBorder="1"/>
    <xf numFmtId="0" fontId="19" fillId="0" borderId="0" xfId="1" applyFont="1"/>
    <xf numFmtId="0" fontId="30" fillId="0" borderId="0" xfId="1" applyFont="1" applyAlignment="1">
      <alignment horizontal="right"/>
    </xf>
    <xf numFmtId="0" fontId="30" fillId="0" borderId="0" xfId="1" applyFont="1" applyAlignment="1">
      <alignment horizontal="center"/>
    </xf>
    <xf numFmtId="0" fontId="7" fillId="0" borderId="12" xfId="1" applyFont="1" applyBorder="1"/>
    <xf numFmtId="0" fontId="7" fillId="0" borderId="5" xfId="1" applyFont="1" applyBorder="1"/>
    <xf numFmtId="0" fontId="12" fillId="0" borderId="0" xfId="1" applyFont="1" applyAlignment="1">
      <alignment horizontal="left" indent="1"/>
    </xf>
    <xf numFmtId="9" fontId="12" fillId="0" borderId="0" xfId="1" applyNumberFormat="1" applyFont="1" applyAlignment="1">
      <alignment horizontal="center"/>
    </xf>
    <xf numFmtId="0" fontId="8" fillId="0" borderId="0" xfId="1" applyFont="1" applyAlignment="1">
      <alignment shrinkToFit="1"/>
    </xf>
    <xf numFmtId="0" fontId="48" fillId="0" borderId="0" xfId="1" applyFont="1" applyAlignment="1">
      <alignment horizontal="right"/>
    </xf>
    <xf numFmtId="0" fontId="49" fillId="0" borderId="0" xfId="1" applyFont="1" applyAlignment="1">
      <alignment horizontal="center"/>
    </xf>
    <xf numFmtId="1" fontId="12" fillId="6" borderId="0" xfId="1" applyNumberFormat="1" applyFont="1" applyFill="1"/>
    <xf numFmtId="9" fontId="48" fillId="0" borderId="0" xfId="1" applyNumberFormat="1" applyFont="1" applyAlignment="1">
      <alignment horizontal="center"/>
    </xf>
    <xf numFmtId="9" fontId="7" fillId="0" borderId="0" xfId="1" applyNumberFormat="1" applyFont="1" applyAlignment="1">
      <alignment horizontal="center"/>
    </xf>
    <xf numFmtId="0" fontId="19" fillId="8" borderId="13" xfId="1" applyFont="1" applyFill="1" applyBorder="1"/>
    <xf numFmtId="0" fontId="12" fillId="0" borderId="12" xfId="1" applyFont="1" applyBorder="1"/>
    <xf numFmtId="0" fontId="12" fillId="0" borderId="5" xfId="1" applyFont="1" applyBorder="1"/>
    <xf numFmtId="1" fontId="19" fillId="0" borderId="12" xfId="1" applyNumberFormat="1" applyFont="1" applyBorder="1" applyAlignment="1">
      <alignment horizontal="right"/>
    </xf>
    <xf numFmtId="1" fontId="19" fillId="0" borderId="5" xfId="1" applyNumberFormat="1" applyFont="1" applyBorder="1" applyAlignment="1">
      <alignment horizontal="right"/>
    </xf>
    <xf numFmtId="0" fontId="12" fillId="6" borderId="0" xfId="1" applyFont="1" applyFill="1" applyAlignment="1">
      <alignment horizontal="left"/>
    </xf>
    <xf numFmtId="0" fontId="7" fillId="6" borderId="0" xfId="1" applyFont="1" applyFill="1" applyAlignment="1">
      <alignment horizontal="center"/>
    </xf>
    <xf numFmtId="0" fontId="12" fillId="0" borderId="16" xfId="1" applyFont="1" applyBorder="1" applyAlignment="1">
      <alignment horizontal="right"/>
    </xf>
    <xf numFmtId="1" fontId="12" fillId="0" borderId="12" xfId="1" applyNumberFormat="1" applyFont="1" applyBorder="1" applyAlignment="1">
      <alignment horizontal="right"/>
    </xf>
    <xf numFmtId="1" fontId="12" fillId="0" borderId="5" xfId="1" applyNumberFormat="1" applyFont="1" applyBorder="1" applyAlignment="1">
      <alignment horizontal="right"/>
    </xf>
    <xf numFmtId="1" fontId="7" fillId="6" borderId="0" xfId="1" applyNumberFormat="1" applyFont="1" applyFill="1" applyAlignment="1">
      <alignment horizontal="left" indent="1"/>
    </xf>
    <xf numFmtId="1" fontId="7" fillId="6" borderId="0" xfId="1" applyNumberFormat="1" applyFont="1" applyFill="1"/>
    <xf numFmtId="9" fontId="9" fillId="0" borderId="0" xfId="1" applyNumberFormat="1" applyFont="1" applyAlignment="1">
      <alignment horizontal="center"/>
    </xf>
    <xf numFmtId="1" fontId="12" fillId="0" borderId="22" xfId="1" applyNumberFormat="1" applyFont="1" applyBorder="1" applyAlignment="1">
      <alignment horizontal="right"/>
    </xf>
    <xf numFmtId="1" fontId="12" fillId="0" borderId="18" xfId="1" applyNumberFormat="1" applyFont="1" applyBorder="1" applyAlignment="1">
      <alignment horizontal="right"/>
    </xf>
    <xf numFmtId="0" fontId="42" fillId="0" borderId="0" xfId="1" applyFont="1"/>
    <xf numFmtId="1" fontId="7" fillId="0" borderId="0" xfId="1" applyNumberFormat="1" applyFont="1" applyAlignment="1">
      <alignment horizontal="right" indent="1"/>
    </xf>
    <xf numFmtId="1" fontId="49" fillId="0" borderId="0" xfId="1" applyNumberFormat="1" applyFont="1"/>
    <xf numFmtId="0" fontId="50" fillId="0" borderId="0" xfId="1" applyFont="1" applyAlignment="1">
      <alignment horizontal="left"/>
    </xf>
    <xf numFmtId="0" fontId="16" fillId="0" borderId="0" xfId="1" applyFont="1" applyAlignment="1">
      <alignment horizontal="right"/>
    </xf>
    <xf numFmtId="0" fontId="51" fillId="0" borderId="0" xfId="1" applyFont="1"/>
    <xf numFmtId="1" fontId="12" fillId="0" borderId="22" xfId="1" applyNumberFormat="1" applyFont="1" applyBorder="1"/>
    <xf numFmtId="1" fontId="12" fillId="0" borderId="18" xfId="1" applyNumberFormat="1" applyFont="1" applyBorder="1"/>
    <xf numFmtId="0" fontId="20" fillId="9" borderId="0" xfId="1" applyFont="1" applyFill="1"/>
    <xf numFmtId="0" fontId="12" fillId="9" borderId="0" xfId="1" applyFont="1" applyFill="1"/>
    <xf numFmtId="1" fontId="12" fillId="9" borderId="0" xfId="1" applyNumberFormat="1" applyFont="1" applyFill="1"/>
    <xf numFmtId="0" fontId="7" fillId="9" borderId="0" xfId="1" applyFont="1" applyFill="1" applyAlignment="1">
      <alignment horizontal="left"/>
    </xf>
    <xf numFmtId="0" fontId="12" fillId="9" borderId="15" xfId="1" applyFont="1" applyFill="1" applyBorder="1"/>
    <xf numFmtId="15" fontId="5" fillId="0" borderId="0" xfId="1" applyNumberFormat="1" applyFont="1" applyAlignment="1">
      <alignment horizontal="center"/>
    </xf>
    <xf numFmtId="0" fontId="52" fillId="0" borderId="0" xfId="1" applyFont="1" applyAlignment="1">
      <alignment horizontal="left" shrinkToFit="1"/>
    </xf>
    <xf numFmtId="0" fontId="52" fillId="0" borderId="0" xfId="1" applyFont="1" applyAlignment="1">
      <alignment horizontal="left" shrinkToFit="1"/>
    </xf>
    <xf numFmtId="1" fontId="12" fillId="5" borderId="0" xfId="1" applyNumberFormat="1" applyFont="1" applyFill="1"/>
    <xf numFmtId="1" fontId="19" fillId="9" borderId="0" xfId="1" applyNumberFormat="1" applyFont="1" applyFill="1"/>
    <xf numFmtId="0" fontId="7" fillId="9" borderId="0" xfId="1" applyFont="1" applyFill="1" applyAlignment="1">
      <alignment horizontal="left" indent="11"/>
    </xf>
    <xf numFmtId="9" fontId="12" fillId="9" borderId="0" xfId="1" applyNumberFormat="1" applyFont="1" applyFill="1" applyAlignment="1">
      <alignment horizontal="center"/>
    </xf>
    <xf numFmtId="1" fontId="49" fillId="0" borderId="0" xfId="1" applyNumberFormat="1" applyFont="1" applyAlignment="1">
      <alignment horizontal="left"/>
    </xf>
    <xf numFmtId="0" fontId="8" fillId="0" borderId="23" xfId="1" applyFont="1" applyBorder="1" applyAlignment="1">
      <alignment horizontal="center" shrinkToFit="1"/>
    </xf>
    <xf numFmtId="15" fontId="5" fillId="0" borderId="15" xfId="1" applyNumberFormat="1" applyFont="1" applyBorder="1" applyAlignment="1">
      <alignment horizontal="center"/>
    </xf>
    <xf numFmtId="0" fontId="52" fillId="0" borderId="15" xfId="1" applyFont="1" applyBorder="1" applyAlignment="1">
      <alignment horizontal="left" shrinkToFit="1"/>
    </xf>
    <xf numFmtId="1" fontId="8" fillId="0" borderId="7" xfId="1" applyNumberFormat="1" applyFont="1" applyBorder="1" applyAlignment="1">
      <alignment horizontal="center" shrinkToFit="1"/>
    </xf>
    <xf numFmtId="0" fontId="19" fillId="0" borderId="8" xfId="1" applyFont="1" applyBorder="1" applyAlignment="1">
      <alignment horizontal="left"/>
    </xf>
    <xf numFmtId="0" fontId="42" fillId="0" borderId="8" xfId="1" applyFont="1" applyBorder="1" applyAlignment="1">
      <alignment horizontal="left"/>
    </xf>
    <xf numFmtId="0" fontId="12" fillId="0" borderId="24" xfId="1" applyFont="1" applyBorder="1" applyAlignment="1">
      <alignment horizontal="center"/>
    </xf>
    <xf numFmtId="1" fontId="19" fillId="3" borderId="25" xfId="1" applyNumberFormat="1" applyFont="1" applyFill="1" applyBorder="1"/>
    <xf numFmtId="1" fontId="19" fillId="3" borderId="26" xfId="1" applyNumberFormat="1" applyFont="1" applyFill="1" applyBorder="1"/>
    <xf numFmtId="0" fontId="19" fillId="9" borderId="13" xfId="1" applyFont="1" applyFill="1" applyBorder="1"/>
    <xf numFmtId="0" fontId="53" fillId="0" borderId="1" xfId="1" applyFont="1" applyBorder="1" applyAlignment="1">
      <alignment horizontal="center"/>
    </xf>
    <xf numFmtId="0" fontId="53" fillId="0" borderId="2" xfId="1" applyFont="1" applyBorder="1" applyAlignment="1">
      <alignment horizontal="center"/>
    </xf>
    <xf numFmtId="0" fontId="53" fillId="0" borderId="3" xfId="1" applyFont="1" applyBorder="1" applyAlignment="1">
      <alignment horizontal="center"/>
    </xf>
    <xf numFmtId="14" fontId="54" fillId="0" borderId="7" xfId="1" applyNumberFormat="1" applyFont="1" applyBorder="1" applyAlignment="1">
      <alignment horizontal="center" shrinkToFit="1"/>
    </xf>
    <xf numFmtId="0" fontId="54" fillId="0" borderId="8" xfId="1" applyFont="1" applyBorder="1" applyAlignment="1">
      <alignment horizontal="center" shrinkToFit="1"/>
    </xf>
    <xf numFmtId="0" fontId="55" fillId="0" borderId="8" xfId="1" applyFont="1" applyBorder="1"/>
    <xf numFmtId="0" fontId="56" fillId="0" borderId="8" xfId="1" applyFont="1" applyBorder="1" applyAlignment="1">
      <alignment horizontal="center"/>
    </xf>
    <xf numFmtId="0" fontId="57" fillId="0" borderId="8" xfId="1" applyFont="1" applyBorder="1" applyAlignment="1">
      <alignment horizontal="center"/>
    </xf>
    <xf numFmtId="0" fontId="58" fillId="0" borderId="8" xfId="1" applyFont="1" applyBorder="1" applyAlignment="1">
      <alignment horizontal="center"/>
    </xf>
    <xf numFmtId="0" fontId="58" fillId="0" borderId="9" xfId="1" applyFont="1" applyBorder="1" applyAlignment="1">
      <alignment horizontal="center"/>
    </xf>
    <xf numFmtId="0" fontId="43" fillId="0" borderId="0" xfId="1" applyFont="1" applyAlignment="1">
      <alignment horizontal="center"/>
    </xf>
    <xf numFmtId="0" fontId="43" fillId="0" borderId="0" xfId="1" applyFont="1" applyAlignment="1">
      <alignment horizontal="left"/>
    </xf>
    <xf numFmtId="0" fontId="59" fillId="0" borderId="0" xfId="1" applyFont="1" applyAlignment="1">
      <alignment horizontal="center"/>
    </xf>
    <xf numFmtId="1" fontId="43" fillId="0" borderId="0" xfId="1" applyNumberFormat="1" applyFont="1" applyAlignment="1">
      <alignment horizontal="left"/>
    </xf>
    <xf numFmtId="0" fontId="1" fillId="0" borderId="0" xfId="1" applyAlignment="1">
      <alignment horizontal="center"/>
    </xf>
    <xf numFmtId="1" fontId="43" fillId="0" borderId="0" xfId="1" applyNumberFormat="1" applyFont="1" applyAlignment="1">
      <alignment horizontal="center"/>
    </xf>
    <xf numFmtId="0" fontId="60" fillId="0" borderId="0" xfId="1" applyFont="1" applyAlignment="1">
      <alignment horizontal="center"/>
    </xf>
    <xf numFmtId="0" fontId="61" fillId="10" borderId="0" xfId="1" applyFont="1" applyFill="1"/>
    <xf numFmtId="0" fontId="62" fillId="10" borderId="0" xfId="1" applyFont="1" applyFill="1"/>
    <xf numFmtId="0" fontId="11" fillId="10" borderId="0" xfId="1" applyFont="1" applyFill="1"/>
    <xf numFmtId="1" fontId="19" fillId="10" borderId="0" xfId="1" applyNumberFormat="1" applyFont="1" applyFill="1"/>
    <xf numFmtId="10" fontId="12" fillId="0" borderId="0" xfId="1" applyNumberFormat="1" applyFont="1"/>
    <xf numFmtId="164" fontId="12" fillId="0" borderId="0" xfId="1" applyNumberFormat="1" applyFont="1" applyAlignment="1">
      <alignment horizontal="center"/>
    </xf>
    <xf numFmtId="0" fontId="63" fillId="0" borderId="0" xfId="1" applyFont="1"/>
    <xf numFmtId="2" fontId="64" fillId="0" borderId="0" xfId="1" applyNumberFormat="1" applyFont="1"/>
    <xf numFmtId="0" fontId="43" fillId="0" borderId="0" xfId="1" applyFont="1"/>
    <xf numFmtId="1" fontId="1" fillId="0" borderId="0" xfId="1" applyNumberFormat="1"/>
    <xf numFmtId="1" fontId="12" fillId="0" borderId="13" xfId="1" applyNumberFormat="1" applyFont="1" applyBorder="1"/>
    <xf numFmtId="0" fontId="12" fillId="0" borderId="13" xfId="1" applyFont="1" applyBorder="1"/>
    <xf numFmtId="1" fontId="9" fillId="0" borderId="0" xfId="1" applyNumberFormat="1" applyFont="1"/>
    <xf numFmtId="0" fontId="43" fillId="0" borderId="0" xfId="1" applyFont="1" applyAlignment="1">
      <alignment horizontal="center" vertical="center"/>
    </xf>
    <xf numFmtId="0" fontId="1" fillId="0" borderId="0" xfId="1" applyAlignment="1">
      <alignment horizontal="center" vertical="center"/>
    </xf>
    <xf numFmtId="1" fontId="54" fillId="0" borderId="0" xfId="1" applyNumberFormat="1" applyFont="1" applyAlignment="1">
      <alignment horizontal="center" vertical="center" wrapText="1"/>
    </xf>
    <xf numFmtId="1" fontId="1" fillId="0" borderId="0" xfId="1" applyNumberFormat="1" applyAlignment="1">
      <alignment horizontal="center" vertical="center"/>
    </xf>
    <xf numFmtId="0" fontId="8" fillId="0" borderId="0" xfId="1" applyFont="1" applyAlignment="1">
      <alignment horizontal="center" shrinkToFit="1"/>
    </xf>
    <xf numFmtId="165" fontId="1" fillId="0" borderId="0" xfId="1" applyNumberFormat="1" applyAlignment="1">
      <alignment horizontal="center"/>
    </xf>
    <xf numFmtId="1" fontId="1" fillId="11" borderId="0" xfId="1" applyNumberFormat="1" applyFill="1"/>
    <xf numFmtId="1" fontId="1" fillId="0" borderId="0" xfId="1" applyNumberFormat="1" applyAlignment="1">
      <alignment horizontal="center"/>
    </xf>
    <xf numFmtId="2" fontId="31" fillId="0" borderId="0" xfId="1" applyNumberFormat="1" applyFont="1" applyAlignment="1">
      <alignment horizontal="center"/>
    </xf>
    <xf numFmtId="0" fontId="31" fillId="0" borderId="0" xfId="1" applyFont="1" applyAlignment="1">
      <alignment horizontal="center"/>
    </xf>
    <xf numFmtId="1" fontId="31" fillId="0" borderId="0" xfId="1" applyNumberFormat="1" applyFont="1" applyAlignment="1">
      <alignment horizontal="center"/>
    </xf>
    <xf numFmtId="2" fontId="1" fillId="0" borderId="0" xfId="1" applyNumberFormat="1"/>
    <xf numFmtId="2" fontId="1" fillId="0" borderId="0" xfId="1" applyNumberFormat="1" applyAlignment="1">
      <alignment horizontal="center"/>
    </xf>
    <xf numFmtId="1" fontId="62" fillId="0" borderId="13" xfId="1" applyNumberFormat="1" applyFont="1" applyBorder="1"/>
    <xf numFmtId="1" fontId="62" fillId="3" borderId="13" xfId="1" applyNumberFormat="1" applyFont="1" applyFill="1" applyBorder="1" applyAlignment="1">
      <alignment horizontal="center"/>
    </xf>
    <xf numFmtId="0" fontId="8" fillId="0" borderId="8" xfId="1" applyFont="1" applyBorder="1" applyAlignment="1">
      <alignment shrinkToFit="1"/>
    </xf>
    <xf numFmtId="0" fontId="1" fillId="0" borderId="8" xfId="1" applyBorder="1"/>
    <xf numFmtId="1" fontId="62" fillId="0" borderId="8" xfId="1" applyNumberFormat="1" applyFont="1" applyBorder="1"/>
    <xf numFmtId="2" fontId="62" fillId="0" borderId="0" xfId="1" applyNumberFormat="1" applyFont="1"/>
    <xf numFmtId="17" fontId="1" fillId="0" borderId="0" xfId="1" applyNumberFormat="1" applyAlignment="1">
      <alignment horizontal="center"/>
    </xf>
    <xf numFmtId="0" fontId="43" fillId="0" borderId="0" xfId="1" applyFont="1" applyAlignment="1">
      <alignment horizontal="left" indent="1"/>
    </xf>
    <xf numFmtId="1" fontId="1" fillId="0" borderId="13" xfId="1" applyNumberFormat="1" applyBorder="1"/>
    <xf numFmtId="9" fontId="5" fillId="0" borderId="0" xfId="1" applyNumberFormat="1" applyFont="1" applyAlignment="1">
      <alignment horizontal="center"/>
    </xf>
    <xf numFmtId="0" fontId="65" fillId="0" borderId="0" xfId="1" applyFont="1" applyAlignment="1">
      <alignment horizontal="left"/>
    </xf>
    <xf numFmtId="2" fontId="9" fillId="0" borderId="0" xfId="1" applyNumberFormat="1" applyFont="1" applyAlignment="1">
      <alignment horizontal="center"/>
    </xf>
    <xf numFmtId="0" fontId="9" fillId="0" borderId="0" xfId="1" applyFont="1" applyAlignment="1">
      <alignment horizontal="center"/>
    </xf>
    <xf numFmtId="1" fontId="9" fillId="0" borderId="0" xfId="1" applyNumberFormat="1" applyFont="1" applyAlignment="1">
      <alignment horizontal="center"/>
    </xf>
    <xf numFmtId="1" fontId="65" fillId="0" borderId="0" xfId="1" applyNumberFormat="1" applyFont="1" applyAlignment="1">
      <alignment horizontal="left"/>
    </xf>
    <xf numFmtId="1" fontId="66" fillId="0" borderId="0" xfId="1" applyNumberFormat="1" applyFont="1" applyAlignment="1">
      <alignment horizontal="left"/>
    </xf>
    <xf numFmtId="2" fontId="62" fillId="0" borderId="0" xfId="1" applyNumberFormat="1" applyFont="1" applyAlignment="1">
      <alignment horizontal="center"/>
    </xf>
    <xf numFmtId="1" fontId="65" fillId="0" borderId="0" xfId="1" applyNumberFormat="1" applyFont="1" applyAlignment="1">
      <alignment horizontal="right"/>
    </xf>
    <xf numFmtId="1" fontId="1" fillId="0" borderId="0" xfId="1" applyNumberFormat="1" applyAlignment="1">
      <alignment horizontal="right"/>
    </xf>
    <xf numFmtId="0" fontId="12" fillId="0" borderId="8" xfId="1" applyFont="1" applyBorder="1"/>
    <xf numFmtId="0" fontId="43" fillId="0" borderId="8" xfId="1" applyFont="1" applyBorder="1"/>
    <xf numFmtId="1" fontId="1" fillId="0" borderId="8" xfId="1" applyNumberFormat="1" applyBorder="1" applyAlignment="1">
      <alignment horizontal="right"/>
    </xf>
    <xf numFmtId="1" fontId="1" fillId="0" borderId="8" xfId="1" applyNumberFormat="1" applyBorder="1"/>
    <xf numFmtId="2" fontId="62" fillId="0" borderId="8" xfId="1" applyNumberFormat="1" applyFont="1" applyBorder="1" applyAlignment="1">
      <alignment horizontal="center"/>
    </xf>
    <xf numFmtId="14" fontId="1" fillId="0" borderId="0" xfId="1" applyNumberFormat="1" applyAlignment="1">
      <alignment horizontal="center"/>
    </xf>
    <xf numFmtId="2" fontId="67" fillId="0" borderId="0" xfId="1" applyNumberFormat="1" applyFont="1" applyAlignment="1">
      <alignment horizontal="center"/>
    </xf>
    <xf numFmtId="0" fontId="67" fillId="0" borderId="0" xfId="1" applyFont="1" applyAlignment="1">
      <alignment horizontal="center"/>
    </xf>
    <xf numFmtId="1" fontId="12" fillId="0" borderId="0" xfId="1" applyNumberFormat="1" applyFont="1" applyAlignment="1">
      <alignment horizontal="right"/>
    </xf>
    <xf numFmtId="0" fontId="67" fillId="0" borderId="0" xfId="1" applyFont="1"/>
    <xf numFmtId="1" fontId="67" fillId="0" borderId="0" xfId="1" applyNumberFormat="1" applyFont="1" applyAlignment="1">
      <alignment horizontal="center"/>
    </xf>
    <xf numFmtId="17" fontId="1" fillId="0" borderId="0" xfId="1" applyNumberFormat="1"/>
    <xf numFmtId="0" fontId="68" fillId="0" borderId="1" xfId="1" applyFont="1" applyBorder="1"/>
    <xf numFmtId="0" fontId="7" fillId="0" borderId="2" xfId="1" applyFont="1" applyBorder="1"/>
    <xf numFmtId="0" fontId="69" fillId="0" borderId="2" xfId="1" applyFont="1" applyBorder="1" applyAlignment="1">
      <alignment horizontal="center"/>
    </xf>
    <xf numFmtId="0" fontId="69" fillId="0" borderId="3" xfId="1" applyFont="1" applyBorder="1" applyAlignment="1">
      <alignment horizontal="center"/>
    </xf>
    <xf numFmtId="0" fontId="70" fillId="0" borderId="0" xfId="1" applyFont="1"/>
    <xf numFmtId="0" fontId="9" fillId="0" borderId="4" xfId="1" applyFont="1" applyBorder="1"/>
    <xf numFmtId="0" fontId="20" fillId="0" borderId="0" xfId="1" applyFont="1"/>
    <xf numFmtId="0" fontId="71" fillId="0" borderId="4" xfId="1" applyFont="1" applyBorder="1" applyAlignment="1">
      <alignment horizontal="center" vertical="center"/>
    </xf>
    <xf numFmtId="0" fontId="73" fillId="0" borderId="0" xfId="1" applyFont="1" applyAlignment="1">
      <alignment horizontal="left" vertical="top" wrapText="1"/>
    </xf>
    <xf numFmtId="0" fontId="73" fillId="0" borderId="5" xfId="1" applyFont="1" applyBorder="1" applyAlignment="1">
      <alignment horizontal="left" vertical="top" wrapText="1"/>
    </xf>
    <xf numFmtId="0" fontId="24" fillId="0" borderId="0" xfId="1" applyFont="1" applyAlignment="1">
      <alignment horizontal="left" vertical="center"/>
    </xf>
    <xf numFmtId="0" fontId="7" fillId="0" borderId="4" xfId="1" applyFont="1" applyBorder="1" applyAlignment="1">
      <alignment shrinkToFit="1"/>
    </xf>
    <xf numFmtId="0" fontId="74" fillId="0" borderId="0" xfId="1" applyFont="1" applyAlignment="1">
      <alignment horizontal="left" vertical="top" wrapText="1"/>
    </xf>
    <xf numFmtId="0" fontId="74" fillId="0" borderId="5" xfId="1" applyFont="1" applyBorder="1" applyAlignment="1">
      <alignment horizontal="left" vertical="top" wrapText="1"/>
    </xf>
    <xf numFmtId="0" fontId="7" fillId="0" borderId="7" xfId="1" applyFont="1" applyBorder="1" applyAlignment="1">
      <alignment shrinkToFit="1"/>
    </xf>
    <xf numFmtId="0" fontId="73" fillId="0" borderId="8" xfId="1" applyFont="1" applyBorder="1" applyAlignment="1">
      <alignment horizontal="left" vertical="top" wrapText="1"/>
    </xf>
    <xf numFmtId="0" fontId="7" fillId="0" borderId="9" xfId="1" applyFont="1" applyBorder="1"/>
    <xf numFmtId="0" fontId="7" fillId="0" borderId="0" xfId="1" applyFont="1" applyAlignment="1">
      <alignment shrinkToFit="1"/>
    </xf>
    <xf numFmtId="0" fontId="73" fillId="0" borderId="0" xfId="1" applyFont="1" applyAlignment="1">
      <alignment horizontal="left" vertical="top" wrapText="1"/>
    </xf>
    <xf numFmtId="0" fontId="73" fillId="0" borderId="2" xfId="1" applyFont="1" applyBorder="1" applyAlignment="1">
      <alignment horizontal="left" vertical="top" wrapText="1"/>
    </xf>
    <xf numFmtId="0" fontId="76" fillId="0" borderId="2" xfId="1" applyFont="1" applyBorder="1" applyAlignment="1">
      <alignment horizontal="center"/>
    </xf>
    <xf numFmtId="0" fontId="76" fillId="0" borderId="3" xfId="1" applyFont="1" applyBorder="1" applyAlignment="1">
      <alignment horizontal="center"/>
    </xf>
    <xf numFmtId="0" fontId="77" fillId="0" borderId="0" xfId="1" applyFont="1"/>
    <xf numFmtId="0" fontId="8" fillId="0" borderId="4" xfId="1" applyFont="1" applyBorder="1" applyAlignment="1">
      <alignment shrinkToFit="1"/>
    </xf>
    <xf numFmtId="0" fontId="8" fillId="0" borderId="7" xfId="1" applyFont="1" applyBorder="1" applyAlignment="1">
      <alignment shrinkToFit="1"/>
    </xf>
    <xf numFmtId="0" fontId="7" fillId="0" borderId="8" xfId="1" applyFont="1" applyBorder="1"/>
    <xf numFmtId="0" fontId="12" fillId="0" borderId="9" xfId="1" applyFont="1" applyBorder="1"/>
    <xf numFmtId="0" fontId="69" fillId="0" borderId="1" xfId="1" applyFont="1" applyBorder="1"/>
    <xf numFmtId="0" fontId="43" fillId="0" borderId="2" xfId="1" applyFont="1" applyBorder="1" applyAlignment="1">
      <alignment horizontal="center"/>
    </xf>
    <xf numFmtId="0" fontId="1" fillId="0" borderId="2" xfId="1" applyBorder="1" applyAlignment="1">
      <alignment horizontal="center"/>
    </xf>
    <xf numFmtId="0" fontId="49" fillId="0" borderId="2" xfId="1" applyFont="1" applyBorder="1"/>
    <xf numFmtId="0" fontId="12" fillId="0" borderId="2" xfId="1" applyFont="1" applyBorder="1"/>
    <xf numFmtId="0" fontId="12" fillId="0" borderId="3" xfId="1" applyFont="1" applyBorder="1"/>
    <xf numFmtId="0" fontId="12" fillId="0" borderId="4" xfId="1" applyFont="1" applyBorder="1" applyAlignment="1">
      <alignment horizontal="left" indent="1"/>
    </xf>
    <xf numFmtId="0" fontId="1" fillId="0" borderId="0" xfId="1" applyAlignment="1">
      <alignment horizontal="right"/>
    </xf>
    <xf numFmtId="0" fontId="69" fillId="0" borderId="4" xfId="1" applyFont="1" applyBorder="1"/>
    <xf numFmtId="0" fontId="30" fillId="0" borderId="0" xfId="1" applyFont="1" applyAlignment="1">
      <alignment horizontal="left"/>
    </xf>
    <xf numFmtId="0" fontId="1" fillId="0" borderId="0" xfId="1" applyAlignment="1">
      <alignment horizontal="left" indent="1"/>
    </xf>
    <xf numFmtId="0" fontId="69" fillId="0" borderId="7" xfId="1" applyFont="1" applyBorder="1"/>
    <xf numFmtId="0" fontId="78" fillId="0" borderId="8" xfId="1" applyFont="1" applyBorder="1"/>
    <xf numFmtId="0" fontId="1" fillId="0" borderId="8" xfId="1" applyBorder="1" applyAlignment="1">
      <alignment horizontal="right"/>
    </xf>
  </cellXfs>
  <cellStyles count="2">
    <cellStyle name="Normal" xfId="0" builtinId="0"/>
    <cellStyle name="Normal 2 2" xfId="1" xr:uid="{E765145A-E0D4-4F51-921A-02F9AD234902}"/>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3B1E-BD78-4E68-921E-1E842229009F}">
  <sheetPr>
    <pageSetUpPr fitToPage="1"/>
  </sheetPr>
  <dimension ref="A1:N150"/>
  <sheetViews>
    <sheetView showZeros="0" tabSelected="1" topLeftCell="A91" zoomScale="120" workbookViewId="0">
      <selection activeCell="H55" sqref="H55"/>
    </sheetView>
  </sheetViews>
  <sheetFormatPr defaultColWidth="9.109375" defaultRowHeight="15" customHeight="1" x14ac:dyDescent="0.25"/>
  <cols>
    <col min="1" max="1" width="4.6640625" style="226" customWidth="1"/>
    <col min="2" max="2" width="11"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 style="18" customWidth="1"/>
    <col min="10" max="10" width="6.21875" style="18" customWidth="1"/>
    <col min="11" max="11" width="29.5546875" style="18" customWidth="1"/>
    <col min="12" max="12" width="12.6640625" style="18" customWidth="1"/>
    <col min="13" max="13" width="11.33203125" style="18" customWidth="1"/>
    <col min="14" max="14" width="10.6640625"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26506</v>
      </c>
      <c r="I2" s="16">
        <f>IF(H2&lt;21642,"Sr",0)</f>
        <v>0</v>
      </c>
      <c r="J2" s="17"/>
      <c r="K2" s="18" t="s">
        <v>8</v>
      </c>
      <c r="L2" s="19">
        <v>180000</v>
      </c>
      <c r="N2" s="20">
        <v>44766</v>
      </c>
    </row>
    <row r="3" spans="1:14" ht="15" customHeight="1" x14ac:dyDescent="0.25">
      <c r="A3" s="21"/>
      <c r="B3" s="22" t="s">
        <v>9</v>
      </c>
      <c r="G3" s="23"/>
      <c r="H3" s="24" t="s">
        <v>10</v>
      </c>
      <c r="I3" s="25"/>
      <c r="K3" s="26" t="s">
        <v>11</v>
      </c>
      <c r="N3" s="27" t="s">
        <v>12</v>
      </c>
    </row>
    <row r="4" spans="1:14" ht="15" customHeight="1" x14ac:dyDescent="0.25">
      <c r="A4" s="21"/>
      <c r="B4" s="28" t="s">
        <v>13</v>
      </c>
      <c r="C4" s="29" t="s">
        <v>14</v>
      </c>
      <c r="D4" s="30"/>
      <c r="G4" s="31">
        <v>180000</v>
      </c>
      <c r="H4" s="32"/>
      <c r="I4" s="25"/>
      <c r="K4" s="33" t="s">
        <v>15</v>
      </c>
      <c r="L4" s="34">
        <v>4600000</v>
      </c>
      <c r="M4" s="35"/>
      <c r="N4" s="36">
        <v>44773</v>
      </c>
    </row>
    <row r="5" spans="1:14" ht="15" customHeight="1" x14ac:dyDescent="0.25">
      <c r="A5" s="37"/>
      <c r="B5" s="38" t="s">
        <v>13</v>
      </c>
      <c r="C5" s="39" t="s">
        <v>16</v>
      </c>
      <c r="F5" s="40">
        <f>+L6</f>
        <v>4800000</v>
      </c>
      <c r="H5" s="41"/>
      <c r="I5" s="42"/>
      <c r="K5" s="43" t="s">
        <v>17</v>
      </c>
      <c r="L5" s="34">
        <v>200000</v>
      </c>
      <c r="N5" s="44" t="s">
        <v>18</v>
      </c>
    </row>
    <row r="6" spans="1:14" ht="15" customHeight="1" thickBot="1" x14ac:dyDescent="0.3">
      <c r="A6" s="37"/>
      <c r="B6" s="38" t="s">
        <v>19</v>
      </c>
      <c r="C6" s="39" t="s">
        <v>20</v>
      </c>
      <c r="F6" s="40">
        <f>L7+L8</f>
        <v>735000</v>
      </c>
      <c r="H6" s="41"/>
      <c r="I6" s="42"/>
      <c r="L6" s="45">
        <f>SUM(L4:L5)</f>
        <v>4800000</v>
      </c>
      <c r="M6" s="45"/>
      <c r="N6" s="46">
        <v>44835</v>
      </c>
    </row>
    <row r="7" spans="1:14" ht="15" customHeight="1" thickTop="1" x14ac:dyDescent="0.25">
      <c r="A7" s="37"/>
      <c r="B7" s="38" t="s">
        <v>21</v>
      </c>
      <c r="C7" s="39" t="s">
        <v>22</v>
      </c>
      <c r="F7" s="47"/>
      <c r="G7" s="48">
        <f>F5+F6+F7</f>
        <v>5535000</v>
      </c>
      <c r="H7" s="41"/>
      <c r="I7" s="42"/>
      <c r="K7" s="49" t="s">
        <v>23</v>
      </c>
      <c r="L7" s="43">
        <v>720000</v>
      </c>
      <c r="M7" s="50" t="s">
        <v>24</v>
      </c>
      <c r="N7" s="51" t="s">
        <v>25</v>
      </c>
    </row>
    <row r="8" spans="1:14" ht="15" customHeight="1" x14ac:dyDescent="0.25">
      <c r="A8" s="37"/>
      <c r="B8" s="22"/>
      <c r="C8" s="39"/>
      <c r="E8" s="52"/>
      <c r="F8" s="52" t="s">
        <v>26</v>
      </c>
      <c r="G8" s="53">
        <f>G4+G7</f>
        <v>5715000</v>
      </c>
      <c r="H8" s="41"/>
      <c r="I8" s="42"/>
      <c r="K8" s="43" t="s">
        <v>27</v>
      </c>
      <c r="L8" s="43">
        <v>15000</v>
      </c>
      <c r="N8" s="54" t="s">
        <v>28</v>
      </c>
    </row>
    <row r="9" spans="1:14" ht="15" customHeight="1" thickBot="1" x14ac:dyDescent="0.3">
      <c r="A9" s="37"/>
      <c r="B9" s="55" t="s">
        <v>29</v>
      </c>
      <c r="C9" s="39" t="s">
        <v>30</v>
      </c>
      <c r="G9" s="56"/>
      <c r="H9" s="57"/>
      <c r="I9" s="42"/>
      <c r="K9" s="58" t="s">
        <v>31</v>
      </c>
      <c r="L9" s="58"/>
      <c r="M9" s="59"/>
      <c r="N9" s="60">
        <v>5000</v>
      </c>
    </row>
    <row r="10" spans="1:14" ht="15" customHeight="1" x14ac:dyDescent="0.25">
      <c r="A10" s="37"/>
      <c r="B10" s="22"/>
      <c r="F10" s="52" t="s">
        <v>32</v>
      </c>
      <c r="G10" s="61">
        <f>G8-G9</f>
        <v>5715000</v>
      </c>
      <c r="H10" s="57"/>
      <c r="I10" s="42"/>
      <c r="K10" s="62" t="s">
        <v>33</v>
      </c>
    </row>
    <row r="11" spans="1:14" ht="15" customHeight="1" x14ac:dyDescent="0.25">
      <c r="A11" s="37"/>
      <c r="B11" s="38" t="s">
        <v>34</v>
      </c>
      <c r="C11" s="63" t="s">
        <v>35</v>
      </c>
      <c r="G11" s="56">
        <v>50000</v>
      </c>
      <c r="H11" s="57">
        <f>G10-G11</f>
        <v>5665000</v>
      </c>
      <c r="I11" s="42"/>
      <c r="J11" s="17"/>
      <c r="L11" s="43"/>
    </row>
    <row r="12" spans="1:14" ht="18.75" customHeight="1" x14ac:dyDescent="0.25">
      <c r="A12" s="37"/>
      <c r="B12" s="22" t="s">
        <v>36</v>
      </c>
      <c r="E12" s="64"/>
      <c r="G12" s="23"/>
      <c r="H12" s="57"/>
      <c r="I12" s="42"/>
    </row>
    <row r="13" spans="1:14" ht="17.25" customHeight="1" x14ac:dyDescent="0.25">
      <c r="A13" s="37"/>
      <c r="B13" s="65"/>
      <c r="C13" s="39" t="s">
        <v>37</v>
      </c>
      <c r="D13" s="39"/>
      <c r="E13" s="64"/>
      <c r="F13" s="66"/>
      <c r="G13" s="67">
        <f>+M14</f>
        <v>680000</v>
      </c>
      <c r="H13" s="41"/>
      <c r="I13" s="68"/>
      <c r="K13" s="18" t="s">
        <v>38</v>
      </c>
      <c r="M13" s="43"/>
    </row>
    <row r="14" spans="1:14" ht="15.75" customHeight="1" x14ac:dyDescent="0.25">
      <c r="A14" s="37"/>
      <c r="C14" s="39" t="s">
        <v>39</v>
      </c>
      <c r="D14" s="39"/>
      <c r="E14" s="69" t="s">
        <v>40</v>
      </c>
      <c r="F14" s="17"/>
      <c r="G14" s="70"/>
      <c r="H14" s="41"/>
      <c r="I14" s="68"/>
      <c r="K14" s="18" t="s">
        <v>41</v>
      </c>
      <c r="M14" s="18">
        <v>680000</v>
      </c>
      <c r="N14" s="71" t="s">
        <v>42</v>
      </c>
    </row>
    <row r="15" spans="1:14" ht="12.75" customHeight="1" x14ac:dyDescent="0.25">
      <c r="A15" s="37"/>
      <c r="C15" s="39"/>
      <c r="D15" s="39"/>
      <c r="E15" s="69"/>
      <c r="F15" s="17"/>
      <c r="G15" s="18">
        <f>G13-G14</f>
        <v>680000</v>
      </c>
      <c r="H15" s="41"/>
      <c r="I15" s="68"/>
      <c r="K15" s="18" t="s">
        <v>43</v>
      </c>
      <c r="M15" s="18">
        <v>20000</v>
      </c>
    </row>
    <row r="16" spans="1:14" ht="15" customHeight="1" x14ac:dyDescent="0.25">
      <c r="A16" s="37"/>
      <c r="B16" s="38" t="s">
        <v>44</v>
      </c>
      <c r="C16" s="63" t="s">
        <v>45</v>
      </c>
      <c r="D16" s="39"/>
      <c r="E16" s="69" t="s">
        <v>46</v>
      </c>
      <c r="F16" s="35">
        <f>ROUND(G15*0.3,0)</f>
        <v>204000</v>
      </c>
      <c r="H16" s="41"/>
      <c r="I16" s="68"/>
      <c r="K16" s="18" t="s">
        <v>47</v>
      </c>
      <c r="M16" s="18">
        <v>265000</v>
      </c>
    </row>
    <row r="17" spans="1:14" ht="15" customHeight="1" x14ac:dyDescent="0.25">
      <c r="A17" s="37"/>
      <c r="E17" s="69"/>
      <c r="F17" s="72">
        <f>+M16</f>
        <v>265000</v>
      </c>
      <c r="G17" s="73">
        <f>F16+F17</f>
        <v>469000</v>
      </c>
      <c r="H17" s="41">
        <f>G15-G17</f>
        <v>211000</v>
      </c>
      <c r="I17" s="68"/>
      <c r="J17" s="74"/>
    </row>
    <row r="18" spans="1:14" ht="15" customHeight="1" x14ac:dyDescent="0.25">
      <c r="A18" s="37"/>
      <c r="B18" s="22" t="s">
        <v>48</v>
      </c>
      <c r="C18" s="75"/>
      <c r="H18" s="41"/>
      <c r="I18" s="42"/>
      <c r="K18" s="76" t="s">
        <v>49</v>
      </c>
      <c r="L18" s="76"/>
      <c r="M18" s="76">
        <v>890000</v>
      </c>
    </row>
    <row r="19" spans="1:14" ht="15" customHeight="1" x14ac:dyDescent="0.25">
      <c r="A19" s="37"/>
      <c r="C19" s="39" t="s">
        <v>50</v>
      </c>
      <c r="H19" s="41"/>
      <c r="I19" s="68"/>
      <c r="J19" s="17"/>
      <c r="K19" s="76" t="s">
        <v>51</v>
      </c>
      <c r="L19" s="76"/>
      <c r="M19" s="76">
        <v>100000</v>
      </c>
    </row>
    <row r="20" spans="1:14" ht="15" customHeight="1" x14ac:dyDescent="0.25">
      <c r="A20" s="37"/>
      <c r="C20" s="77" t="s">
        <v>52</v>
      </c>
      <c r="E20" s="63"/>
      <c r="H20" s="41"/>
      <c r="I20" s="68"/>
      <c r="J20" s="17"/>
      <c r="K20" s="76" t="s">
        <v>53</v>
      </c>
      <c r="L20" s="76"/>
      <c r="M20" s="76">
        <v>200000</v>
      </c>
      <c r="N20" s="71" t="s">
        <v>54</v>
      </c>
    </row>
    <row r="21" spans="1:14" ht="15" customHeight="1" x14ac:dyDescent="0.25">
      <c r="A21" s="78">
        <v>0.1</v>
      </c>
      <c r="B21" s="66" t="s">
        <v>55</v>
      </c>
      <c r="C21" s="76" t="s">
        <v>56</v>
      </c>
      <c r="D21" s="76"/>
      <c r="E21" s="76"/>
      <c r="F21" s="76">
        <f>+M18</f>
        <v>890000</v>
      </c>
      <c r="G21" s="76"/>
      <c r="H21" s="41"/>
      <c r="I21" s="68"/>
      <c r="J21" s="17"/>
      <c r="K21" s="79" t="s">
        <v>57</v>
      </c>
      <c r="L21" s="76"/>
      <c r="M21" s="80"/>
    </row>
    <row r="22" spans="1:14" ht="15" customHeight="1" thickBot="1" x14ac:dyDescent="0.3">
      <c r="A22" s="81"/>
      <c r="C22" s="82" t="s">
        <v>58</v>
      </c>
      <c r="D22" s="76"/>
      <c r="E22" s="83" t="s">
        <v>59</v>
      </c>
      <c r="F22" s="84">
        <f>+M19</f>
        <v>100000</v>
      </c>
      <c r="G22" s="85">
        <f>F21-F22</f>
        <v>790000</v>
      </c>
      <c r="H22" s="41"/>
      <c r="I22" s="68"/>
      <c r="J22" s="86"/>
      <c r="K22" s="18" t="s">
        <v>60</v>
      </c>
      <c r="M22" s="18">
        <v>9000000</v>
      </c>
    </row>
    <row r="23" spans="1:14" ht="15" customHeight="1" thickTop="1" x14ac:dyDescent="0.25">
      <c r="A23" s="37"/>
      <c r="B23" s="63"/>
      <c r="C23" s="87" t="s">
        <v>53</v>
      </c>
      <c r="D23" s="76"/>
      <c r="E23" s="76"/>
      <c r="F23" s="76"/>
      <c r="G23" s="88" t="s">
        <v>61</v>
      </c>
      <c r="H23" s="41"/>
      <c r="I23" s="68"/>
      <c r="J23" s="86">
        <v>317</v>
      </c>
      <c r="K23" s="18" t="s">
        <v>62</v>
      </c>
      <c r="M23" s="18">
        <v>9600000</v>
      </c>
      <c r="N23" s="89">
        <v>0.1</v>
      </c>
    </row>
    <row r="24" spans="1:14" ht="15" customHeight="1" x14ac:dyDescent="0.25">
      <c r="A24" s="90">
        <v>0.2</v>
      </c>
      <c r="B24" s="66" t="s">
        <v>63</v>
      </c>
      <c r="C24" s="18" t="s">
        <v>64</v>
      </c>
      <c r="G24" s="18">
        <f>+M22</f>
        <v>9000000</v>
      </c>
      <c r="H24" s="41"/>
      <c r="I24" s="68"/>
      <c r="J24" s="86"/>
      <c r="K24" s="18" t="s">
        <v>65</v>
      </c>
      <c r="M24" s="18">
        <v>100000</v>
      </c>
      <c r="N24" s="91"/>
    </row>
    <row r="25" spans="1:14" ht="15" customHeight="1" x14ac:dyDescent="0.25">
      <c r="A25" s="81"/>
      <c r="C25" s="92" t="s">
        <v>66</v>
      </c>
      <c r="F25" s="18">
        <f>+M24</f>
        <v>100000</v>
      </c>
      <c r="H25" s="41"/>
      <c r="I25" s="68"/>
      <c r="J25" s="86">
        <v>113</v>
      </c>
      <c r="K25" s="18" t="s">
        <v>67</v>
      </c>
      <c r="L25" s="93">
        <v>38440</v>
      </c>
      <c r="M25" s="18">
        <v>80000</v>
      </c>
      <c r="N25" s="91"/>
    </row>
    <row r="26" spans="1:14" ht="15" customHeight="1" x14ac:dyDescent="0.25">
      <c r="A26" s="37"/>
      <c r="C26" s="92" t="s">
        <v>68</v>
      </c>
      <c r="E26" s="94" t="s">
        <v>69</v>
      </c>
      <c r="F26" s="73">
        <f>ROUND(80000*317/113,0)</f>
        <v>224425</v>
      </c>
      <c r="G26" s="95">
        <f>F26+F25</f>
        <v>324425</v>
      </c>
      <c r="H26" s="41"/>
      <c r="I26" s="68"/>
      <c r="J26" s="86"/>
      <c r="K26" s="55" t="s">
        <v>70</v>
      </c>
      <c r="M26" s="18">
        <v>3300000</v>
      </c>
      <c r="N26" s="91"/>
    </row>
    <row r="27" spans="1:14" ht="15" customHeight="1" x14ac:dyDescent="0.3">
      <c r="A27" s="37"/>
      <c r="C27" s="92"/>
      <c r="E27" s="96"/>
      <c r="F27" s="96" t="s">
        <v>71</v>
      </c>
      <c r="G27" s="18">
        <f>G24-G26</f>
        <v>8675575</v>
      </c>
      <c r="H27" s="41"/>
      <c r="I27" s="68"/>
      <c r="K27" s="97" t="s">
        <v>72</v>
      </c>
    </row>
    <row r="28" spans="1:14" ht="15" customHeight="1" x14ac:dyDescent="0.25">
      <c r="A28" s="37"/>
      <c r="B28" s="98" t="s">
        <v>73</v>
      </c>
      <c r="C28" s="99" t="s">
        <v>74</v>
      </c>
      <c r="F28" s="100"/>
      <c r="G28" s="101">
        <f>ROUND(3300000/8900000*8675575,0)</f>
        <v>3216786</v>
      </c>
      <c r="I28" s="68"/>
      <c r="K28" s="102" t="s">
        <v>75</v>
      </c>
      <c r="L28" s="103"/>
      <c r="M28" s="104"/>
      <c r="N28" s="91"/>
    </row>
    <row r="29" spans="1:14" ht="15" customHeight="1" thickBot="1" x14ac:dyDescent="0.3">
      <c r="A29" s="105"/>
      <c r="B29" s="106"/>
      <c r="C29" s="107"/>
      <c r="D29" s="107"/>
      <c r="E29" s="107"/>
      <c r="F29" s="107"/>
      <c r="G29" s="108">
        <f>+G27-G28</f>
        <v>5458789</v>
      </c>
      <c r="H29" s="41">
        <f>G29+G22</f>
        <v>6248789</v>
      </c>
      <c r="I29" s="68"/>
      <c r="K29" s="102" t="s">
        <v>76</v>
      </c>
      <c r="L29" s="103"/>
      <c r="M29" s="103"/>
    </row>
    <row r="30" spans="1:14" ht="15" customHeight="1" thickTop="1" x14ac:dyDescent="0.3">
      <c r="A30" s="37"/>
      <c r="B30" s="22" t="s">
        <v>77</v>
      </c>
      <c r="H30" s="41"/>
      <c r="I30" s="42"/>
      <c r="K30" s="109" t="s">
        <v>78</v>
      </c>
      <c r="L30" s="17" t="s">
        <v>79</v>
      </c>
      <c r="M30" s="110" t="s">
        <v>80</v>
      </c>
    </row>
    <row r="31" spans="1:14" ht="15" customHeight="1" x14ac:dyDescent="0.25">
      <c r="A31" s="37"/>
      <c r="B31" s="111"/>
      <c r="C31" s="112" t="s">
        <v>81</v>
      </c>
      <c r="D31" s="38"/>
      <c r="E31" s="38"/>
      <c r="F31" s="63"/>
      <c r="G31" s="67">
        <f>+L33</f>
        <v>7080</v>
      </c>
      <c r="H31" s="41"/>
      <c r="I31" s="42"/>
    </row>
    <row r="32" spans="1:14" ht="15" customHeight="1" x14ac:dyDescent="0.25">
      <c r="A32" s="37"/>
      <c r="B32" s="113"/>
      <c r="C32" s="112" t="s">
        <v>82</v>
      </c>
      <c r="D32" s="38"/>
      <c r="E32" s="38" t="s">
        <v>83</v>
      </c>
      <c r="F32" s="63" t="s">
        <v>84</v>
      </c>
      <c r="G32" s="67">
        <f>ROUND(190000*0.1023,0)</f>
        <v>19437</v>
      </c>
      <c r="H32" s="41"/>
      <c r="I32" s="42"/>
    </row>
    <row r="33" spans="1:13" ht="15" customHeight="1" x14ac:dyDescent="0.25">
      <c r="A33" s="37"/>
      <c r="B33" s="113">
        <f>+M34</f>
        <v>44293</v>
      </c>
      <c r="C33" s="114" t="s">
        <v>85</v>
      </c>
      <c r="D33" s="38"/>
      <c r="E33" s="38"/>
      <c r="F33" s="63"/>
      <c r="G33" s="115">
        <f>+L34</f>
        <v>70000</v>
      </c>
      <c r="H33" s="41">
        <f>G31+G33+G32</f>
        <v>96517</v>
      </c>
      <c r="I33" s="42"/>
      <c r="K33" s="18" t="s">
        <v>81</v>
      </c>
      <c r="L33" s="18">
        <v>7080</v>
      </c>
    </row>
    <row r="34" spans="1:13" ht="15" customHeight="1" x14ac:dyDescent="0.25">
      <c r="A34" s="37"/>
      <c r="B34" s="111"/>
      <c r="G34" s="53"/>
      <c r="H34" s="41"/>
      <c r="I34" s="116"/>
      <c r="K34" s="18" t="s">
        <v>86</v>
      </c>
      <c r="L34" s="18">
        <v>70000</v>
      </c>
      <c r="M34" s="93">
        <v>44293</v>
      </c>
    </row>
    <row r="35" spans="1:13" ht="15" customHeight="1" x14ac:dyDescent="0.25">
      <c r="A35" s="37"/>
      <c r="B35" s="22" t="s">
        <v>87</v>
      </c>
      <c r="E35" s="17"/>
      <c r="F35" s="17"/>
      <c r="G35" s="57"/>
      <c r="H35" s="117">
        <f>SUM(H5:H34)</f>
        <v>12221306</v>
      </c>
      <c r="I35" s="118"/>
    </row>
    <row r="36" spans="1:13" ht="15" customHeight="1" x14ac:dyDescent="0.25">
      <c r="A36" s="37"/>
      <c r="B36" s="119" t="s">
        <v>88</v>
      </c>
      <c r="H36" s="41"/>
      <c r="I36" s="42"/>
      <c r="K36" s="120" t="s">
        <v>89</v>
      </c>
      <c r="L36" s="120">
        <v>80000</v>
      </c>
    </row>
    <row r="37" spans="1:13" ht="15" customHeight="1" x14ac:dyDescent="0.25">
      <c r="A37" s="37"/>
      <c r="B37" s="66">
        <f>F37+F38+F39+F40</f>
        <v>211437</v>
      </c>
      <c r="C37" s="64" t="s">
        <v>90</v>
      </c>
      <c r="D37" s="18" t="str">
        <f>+K36</f>
        <v>Recognised Prov Fund</v>
      </c>
      <c r="F37" s="67">
        <f>+L36</f>
        <v>80000</v>
      </c>
      <c r="H37" s="41"/>
      <c r="I37" s="42"/>
      <c r="K37" s="120" t="s">
        <v>91</v>
      </c>
      <c r="L37" s="120">
        <v>20000</v>
      </c>
    </row>
    <row r="38" spans="1:13" ht="15" customHeight="1" x14ac:dyDescent="0.25">
      <c r="A38" s="37"/>
      <c r="B38" s="121"/>
      <c r="C38" s="122" t="s">
        <v>92</v>
      </c>
      <c r="D38" s="18" t="str">
        <f>+K37</f>
        <v>Public Prov Fund</v>
      </c>
      <c r="F38" s="67">
        <f>+L37</f>
        <v>20000</v>
      </c>
      <c r="H38" s="41"/>
      <c r="I38" s="42"/>
      <c r="K38" s="120" t="s">
        <v>93</v>
      </c>
      <c r="L38" s="120">
        <v>92000</v>
      </c>
    </row>
    <row r="39" spans="1:13" ht="15" customHeight="1" x14ac:dyDescent="0.25">
      <c r="A39" s="37"/>
      <c r="B39" s="121"/>
      <c r="C39" s="122"/>
      <c r="D39" s="18" t="str">
        <f>+C32</f>
        <v xml:space="preserve">Accrued Intt on NSCs </v>
      </c>
      <c r="F39" s="67">
        <f>+G32</f>
        <v>19437</v>
      </c>
      <c r="H39" s="41"/>
      <c r="I39" s="42"/>
      <c r="K39" s="120" t="s">
        <v>94</v>
      </c>
      <c r="L39" s="18">
        <v>190000</v>
      </c>
      <c r="M39" s="123">
        <v>0.1023</v>
      </c>
    </row>
    <row r="40" spans="1:13" ht="15" customHeight="1" x14ac:dyDescent="0.25">
      <c r="A40" s="37"/>
      <c r="B40" s="121"/>
      <c r="C40" s="124"/>
      <c r="D40" s="18" t="s">
        <v>95</v>
      </c>
      <c r="F40" s="125">
        <f>+L38</f>
        <v>92000</v>
      </c>
      <c r="G40" s="67">
        <v>150000</v>
      </c>
      <c r="H40" s="41"/>
      <c r="I40" s="42"/>
    </row>
    <row r="41" spans="1:13" ht="15" customHeight="1" x14ac:dyDescent="0.25">
      <c r="A41" s="37"/>
      <c r="C41" s="64" t="s">
        <v>96</v>
      </c>
      <c r="D41" s="63" t="s">
        <v>97</v>
      </c>
      <c r="E41" s="17"/>
      <c r="F41" s="17"/>
      <c r="G41" s="70">
        <f>+G31</f>
        <v>7080</v>
      </c>
      <c r="H41" s="41">
        <f>SUM(G40:G41)</f>
        <v>157080</v>
      </c>
      <c r="I41" s="42"/>
      <c r="K41" s="126"/>
    </row>
    <row r="42" spans="1:13" ht="15" customHeight="1" thickBot="1" x14ac:dyDescent="0.3">
      <c r="A42" s="37"/>
      <c r="B42" s="127" t="s">
        <v>98</v>
      </c>
      <c r="E42" s="128">
        <f>IF((H35-H41)&lt;0,0,(H35-H41))</f>
        <v>12064226</v>
      </c>
      <c r="F42" s="129" t="s">
        <v>99</v>
      </c>
      <c r="G42" s="130"/>
      <c r="H42" s="131">
        <f>ROUND((E42/10),0)*10</f>
        <v>12064230</v>
      </c>
      <c r="I42" s="132"/>
      <c r="K42" s="133" t="s">
        <v>100</v>
      </c>
    </row>
    <row r="43" spans="1:13" ht="15" customHeight="1" thickTop="1" x14ac:dyDescent="0.25">
      <c r="A43" s="37"/>
      <c r="B43" s="133" t="s">
        <v>101</v>
      </c>
      <c r="E43" s="134" t="s">
        <v>102</v>
      </c>
      <c r="F43" s="135" t="s">
        <v>103</v>
      </c>
      <c r="G43" s="134" t="s">
        <v>104</v>
      </c>
      <c r="H43" s="136"/>
      <c r="I43" s="137"/>
      <c r="K43" s="138" t="s">
        <v>105</v>
      </c>
      <c r="L43" s="139">
        <v>0.05</v>
      </c>
      <c r="M43" s="18">
        <f>250000*5%</f>
        <v>12500</v>
      </c>
    </row>
    <row r="44" spans="1:13" ht="15" customHeight="1" x14ac:dyDescent="0.25">
      <c r="A44" s="37"/>
      <c r="B44" s="140"/>
      <c r="C44" s="63" t="s">
        <v>106</v>
      </c>
      <c r="E44" s="53">
        <f>H42-E47-E46-E45</f>
        <v>5745441</v>
      </c>
      <c r="F44" s="141"/>
      <c r="G44" s="18">
        <f>IF(+I2="Sr",ROUND(IF(E44&gt;1000000,(((E44-1000000)*0.3)+110000),IF(E44&gt;500000,(((E44-500000)*0.2)+10000),IF(E44&gt;300000,((E44-300000)*0.05),0))),0),ROUND(IF(E44&gt;1000000,(((E44-1000000)*0.3)+112500),IF(E44&gt;500000,(((E44-500000)*0.2)+12500),IF(E44&gt;250000,((E44-250000)*0.05),0))),0))</f>
        <v>1536132</v>
      </c>
      <c r="H44" s="136"/>
      <c r="I44" s="137"/>
      <c r="K44" s="138" t="s">
        <v>107</v>
      </c>
      <c r="L44" s="139">
        <v>0.2</v>
      </c>
      <c r="M44" s="18">
        <f>500000*20%</f>
        <v>100000</v>
      </c>
    </row>
    <row r="45" spans="1:13" ht="15" customHeight="1" x14ac:dyDescent="0.25">
      <c r="A45" s="37" t="s">
        <v>108</v>
      </c>
      <c r="B45" s="142" t="s">
        <v>109</v>
      </c>
      <c r="C45" s="63" t="s">
        <v>110</v>
      </c>
      <c r="E45" s="143">
        <f>+G22</f>
        <v>790000</v>
      </c>
      <c r="F45" s="144">
        <v>0.1</v>
      </c>
      <c r="G45" s="18">
        <f>ROUND(E45*F45,0)</f>
        <v>79000</v>
      </c>
      <c r="H45" s="136"/>
      <c r="I45" s="137"/>
      <c r="K45" s="138" t="s">
        <v>111</v>
      </c>
      <c r="L45" s="139">
        <v>0.3</v>
      </c>
      <c r="M45" s="18">
        <f>ROUND((E44-1000000)*30%,0)</f>
        <v>1423632</v>
      </c>
    </row>
    <row r="46" spans="1:13" ht="15" customHeight="1" thickBot="1" x14ac:dyDescent="0.3">
      <c r="A46" s="37" t="s">
        <v>112</v>
      </c>
      <c r="B46" s="142" t="s">
        <v>109</v>
      </c>
      <c r="C46" s="63" t="s">
        <v>110</v>
      </c>
      <c r="E46" s="143">
        <f>+G29</f>
        <v>5458789</v>
      </c>
      <c r="F46" s="145">
        <v>0.2</v>
      </c>
      <c r="G46" s="18">
        <f>ROUND(E46*F46,0)</f>
        <v>1091758</v>
      </c>
      <c r="H46" s="136"/>
      <c r="I46" s="137"/>
      <c r="M46" s="146">
        <f>SUM(M43:M45)</f>
        <v>1536132</v>
      </c>
    </row>
    <row r="47" spans="1:13" ht="15" customHeight="1" thickTop="1" x14ac:dyDescent="0.25">
      <c r="A47" s="37"/>
      <c r="B47" s="142" t="s">
        <v>113</v>
      </c>
      <c r="C47" s="63" t="s">
        <v>110</v>
      </c>
      <c r="E47" s="143">
        <f>+G33</f>
        <v>70000</v>
      </c>
      <c r="F47" s="144">
        <v>0.3</v>
      </c>
      <c r="G47" s="95">
        <f>ROUND(E47*F47,0)</f>
        <v>21000</v>
      </c>
      <c r="H47" s="147"/>
      <c r="I47" s="148"/>
    </row>
    <row r="48" spans="1:13" ht="15" customHeight="1" x14ac:dyDescent="0.25">
      <c r="A48" s="37"/>
      <c r="D48" s="141"/>
      <c r="E48" s="17"/>
      <c r="G48" s="35">
        <f>SUM(G44:G47)</f>
        <v>2727890</v>
      </c>
      <c r="H48" s="149"/>
      <c r="I48" s="150"/>
      <c r="K48" s="151" t="s">
        <v>114</v>
      </c>
      <c r="L48" s="152" t="s">
        <v>115</v>
      </c>
    </row>
    <row r="49" spans="1:14" ht="15" customHeight="1" x14ac:dyDescent="0.25">
      <c r="A49" s="37"/>
      <c r="B49" s="63" t="s">
        <v>116</v>
      </c>
      <c r="C49" s="63" t="s">
        <v>117</v>
      </c>
      <c r="D49" s="141"/>
      <c r="E49" s="17"/>
      <c r="G49" s="153"/>
      <c r="H49" s="154">
        <f>G48-G49</f>
        <v>2727890</v>
      </c>
      <c r="I49" s="155"/>
      <c r="K49" s="156" t="s">
        <v>118</v>
      </c>
      <c r="L49" s="157">
        <v>300000</v>
      </c>
    </row>
    <row r="50" spans="1:14" ht="15" customHeight="1" x14ac:dyDescent="0.25">
      <c r="A50" s="37"/>
      <c r="B50" s="18" t="s">
        <v>119</v>
      </c>
      <c r="C50" s="63"/>
      <c r="D50" s="141"/>
      <c r="E50" s="17"/>
      <c r="G50" s="158">
        <v>0.15</v>
      </c>
      <c r="H50" s="159">
        <f>IF(H42&gt;10000000,H49*15%,IF(H42&gt;5000000,H49*10%,0))</f>
        <v>409183.5</v>
      </c>
      <c r="I50" s="160"/>
      <c r="K50" s="156" t="s">
        <v>120</v>
      </c>
      <c r="L50" s="157">
        <v>409000</v>
      </c>
    </row>
    <row r="51" spans="1:14" ht="15" customHeight="1" x14ac:dyDescent="0.25">
      <c r="A51" s="37"/>
      <c r="C51" s="63"/>
      <c r="D51" s="141"/>
      <c r="E51" s="17"/>
      <c r="G51" s="35"/>
      <c r="H51" s="154">
        <f>H49+H50</f>
        <v>3137073.5</v>
      </c>
      <c r="I51" s="155"/>
      <c r="K51" s="156" t="s">
        <v>121</v>
      </c>
      <c r="L51" s="157">
        <v>900000</v>
      </c>
    </row>
    <row r="52" spans="1:14" ht="15" customHeight="1" x14ac:dyDescent="0.25">
      <c r="A52" s="37"/>
      <c r="B52" s="63" t="s">
        <v>122</v>
      </c>
      <c r="D52" s="141"/>
      <c r="E52" s="17"/>
      <c r="G52" s="158">
        <v>0.04</v>
      </c>
      <c r="H52" s="159">
        <f>ROUND((H51)*0.04,0)</f>
        <v>125483</v>
      </c>
      <c r="I52" s="160"/>
      <c r="K52" s="156" t="s">
        <v>123</v>
      </c>
      <c r="L52" s="157">
        <v>72500</v>
      </c>
    </row>
    <row r="53" spans="1:14" ht="15" customHeight="1" x14ac:dyDescent="0.25">
      <c r="A53" s="37"/>
      <c r="B53" s="133" t="s">
        <v>124</v>
      </c>
      <c r="D53" s="141"/>
      <c r="E53" s="129"/>
      <c r="G53" s="17"/>
      <c r="H53" s="149">
        <f>SUM(H51:H52)</f>
        <v>3262556.5</v>
      </c>
      <c r="I53" s="150"/>
      <c r="J53" s="161"/>
      <c r="K53" s="162" t="s">
        <v>125</v>
      </c>
      <c r="L53" s="163">
        <f>SUM(L49:L52)</f>
        <v>1681500</v>
      </c>
    </row>
    <row r="54" spans="1:14" ht="15" customHeight="1" x14ac:dyDescent="0.3">
      <c r="A54" s="37"/>
      <c r="B54" s="63" t="s">
        <v>126</v>
      </c>
      <c r="D54" s="141"/>
      <c r="E54" s="164" t="s">
        <v>127</v>
      </c>
      <c r="G54" s="165"/>
      <c r="H54" s="149">
        <f>+H71-2580</f>
        <v>241513</v>
      </c>
      <c r="I54" s="150"/>
      <c r="J54" s="166">
        <v>-2580</v>
      </c>
    </row>
    <row r="55" spans="1:14" ht="15" customHeight="1" x14ac:dyDescent="0.25">
      <c r="A55" s="37"/>
      <c r="B55" s="63" t="s">
        <v>128</v>
      </c>
      <c r="C55" s="17"/>
      <c r="D55" s="17"/>
      <c r="E55" s="17" t="s">
        <v>129</v>
      </c>
      <c r="G55" s="165"/>
      <c r="H55" s="167">
        <v>5000</v>
      </c>
      <c r="I55" s="168"/>
      <c r="J55" s="161"/>
      <c r="K55" s="169" t="s">
        <v>130</v>
      </c>
      <c r="L55" s="170"/>
      <c r="M55" s="170"/>
    </row>
    <row r="56" spans="1:14" ht="15" customHeight="1" x14ac:dyDescent="0.25">
      <c r="A56" s="37"/>
      <c r="B56" s="133" t="s">
        <v>131</v>
      </c>
      <c r="C56" s="17"/>
      <c r="D56" s="17"/>
      <c r="E56" s="17"/>
      <c r="F56" s="17"/>
      <c r="G56" s="17"/>
      <c r="H56" s="41">
        <f>H53+H55+H54</f>
        <v>3509069.5</v>
      </c>
      <c r="I56" s="42"/>
      <c r="J56" s="63"/>
      <c r="K56" s="170" t="s">
        <v>132</v>
      </c>
      <c r="L56" s="170"/>
      <c r="M56" s="171">
        <f>+G7-50000</f>
        <v>5485000</v>
      </c>
    </row>
    <row r="57" spans="1:14" ht="15" customHeight="1" x14ac:dyDescent="0.25">
      <c r="A57" s="37"/>
      <c r="B57" s="22" t="s">
        <v>133</v>
      </c>
      <c r="C57" s="17"/>
      <c r="D57" s="17"/>
      <c r="E57" s="17"/>
      <c r="F57" s="17"/>
      <c r="G57" s="17"/>
      <c r="H57" s="41"/>
      <c r="I57" s="42"/>
      <c r="K57" s="172" t="s">
        <v>134</v>
      </c>
      <c r="L57" s="170"/>
      <c r="M57" s="173">
        <v>150000</v>
      </c>
    </row>
    <row r="58" spans="1:14" ht="15" customHeight="1" x14ac:dyDescent="0.3">
      <c r="A58" s="37"/>
      <c r="B58" s="174">
        <v>44641</v>
      </c>
      <c r="C58" s="175" t="s">
        <v>135</v>
      </c>
      <c r="D58" s="175"/>
      <c r="E58" s="176"/>
      <c r="F58" s="176"/>
      <c r="G58" s="177">
        <v>20000</v>
      </c>
      <c r="H58" s="41"/>
      <c r="I58" s="42"/>
      <c r="K58" s="170"/>
      <c r="L58" s="170"/>
      <c r="M58" s="178">
        <f>M56-M57</f>
        <v>5335000</v>
      </c>
    </row>
    <row r="59" spans="1:14" ht="15" customHeight="1" x14ac:dyDescent="0.3">
      <c r="A59" s="37"/>
      <c r="B59" s="174"/>
      <c r="C59" s="175" t="s">
        <v>136</v>
      </c>
      <c r="D59" s="175"/>
      <c r="E59" s="176"/>
      <c r="F59" s="176"/>
      <c r="G59" s="177">
        <v>1616500</v>
      </c>
      <c r="H59" s="41"/>
      <c r="I59" s="42"/>
      <c r="K59" s="179" t="s">
        <v>137</v>
      </c>
      <c r="L59" s="170"/>
      <c r="M59" s="170">
        <f>112500+(M58-1000000)*0.3</f>
        <v>1413000</v>
      </c>
    </row>
    <row r="60" spans="1:14" ht="15" customHeight="1" x14ac:dyDescent="0.3">
      <c r="A60" s="37"/>
      <c r="C60" s="175" t="s">
        <v>138</v>
      </c>
      <c r="D60" s="175"/>
      <c r="E60" s="176"/>
      <c r="F60" s="176"/>
      <c r="G60" s="177">
        <v>8000</v>
      </c>
      <c r="H60" s="41"/>
      <c r="I60" s="42"/>
      <c r="K60" s="179" t="s">
        <v>139</v>
      </c>
      <c r="L60" s="180"/>
      <c r="M60" s="170">
        <f>M59/10</f>
        <v>141300</v>
      </c>
      <c r="N60" s="181"/>
    </row>
    <row r="61" spans="1:14" ht="15" customHeight="1" x14ac:dyDescent="0.3">
      <c r="A61" s="182"/>
      <c r="B61" s="183">
        <v>44652</v>
      </c>
      <c r="C61" s="184" t="s">
        <v>140</v>
      </c>
      <c r="D61" s="184"/>
      <c r="E61" s="184"/>
      <c r="F61" s="184"/>
      <c r="G61" s="177">
        <v>86000</v>
      </c>
      <c r="H61" s="41">
        <f>SUM(G58:G61)</f>
        <v>1730500</v>
      </c>
      <c r="I61" s="42"/>
      <c r="K61" s="179" t="s">
        <v>141</v>
      </c>
      <c r="L61" s="180">
        <v>0.04</v>
      </c>
      <c r="M61" s="170">
        <f>ROUND((M60+M59)*0.04,0)</f>
        <v>62172</v>
      </c>
    </row>
    <row r="62" spans="1:14" ht="15" customHeight="1" thickBot="1" x14ac:dyDescent="0.3">
      <c r="A62" s="185"/>
      <c r="B62" s="186" t="str">
        <f>IF(H62=0,"TAX  PAYABLE / REFUND ",IF(H62&lt;0,"REFUND","TAX  PAYABLE including Interest"))</f>
        <v>TAX  PAYABLE including Interest</v>
      </c>
      <c r="C62" s="186"/>
      <c r="D62" s="186"/>
      <c r="E62" s="186"/>
      <c r="F62" s="187" t="s">
        <v>142</v>
      </c>
      <c r="G62" s="188"/>
      <c r="H62" s="189">
        <f>ROUND((H56-H61)/10,0)*10</f>
        <v>1778570</v>
      </c>
      <c r="I62" s="190"/>
      <c r="K62" s="170"/>
      <c r="L62" s="170"/>
      <c r="M62" s="191">
        <f>SUM(M59:M61)</f>
        <v>1616472</v>
      </c>
    </row>
    <row r="63" spans="1:14" ht="15" customHeight="1" x14ac:dyDescent="0.25">
      <c r="A63" s="192" t="s">
        <v>143</v>
      </c>
      <c r="B63" s="193"/>
      <c r="C63" s="193"/>
      <c r="D63" s="193"/>
      <c r="E63" s="193"/>
      <c r="F63" s="193"/>
      <c r="G63" s="193"/>
      <c r="H63" s="193"/>
      <c r="I63" s="194"/>
      <c r="L63" s="17" t="s">
        <v>144</v>
      </c>
      <c r="M63" s="53">
        <f>+G59</f>
        <v>1616500</v>
      </c>
    </row>
    <row r="64" spans="1:14" ht="15" customHeight="1" thickBot="1" x14ac:dyDescent="0.3">
      <c r="A64" s="195"/>
      <c r="B64" s="196"/>
      <c r="C64" s="197" t="s">
        <v>145</v>
      </c>
      <c r="D64" s="198"/>
      <c r="E64" s="199" t="s">
        <v>146</v>
      </c>
      <c r="F64" s="200" t="s">
        <v>147</v>
      </c>
      <c r="G64" s="200"/>
      <c r="H64" s="200"/>
      <c r="I64" s="201"/>
    </row>
    <row r="66" spans="1:14" ht="15" customHeight="1" x14ac:dyDescent="0.25">
      <c r="A66" s="140"/>
      <c r="B66" s="202" t="s">
        <v>148</v>
      </c>
      <c r="C66" s="203" t="s">
        <v>149</v>
      </c>
      <c r="E66" s="204"/>
      <c r="F66" s="204"/>
      <c r="G66" s="204"/>
    </row>
    <row r="67" spans="1:14" ht="15" customHeight="1" x14ac:dyDescent="0.25">
      <c r="A67" s="140"/>
      <c r="B67" s="202" t="s">
        <v>150</v>
      </c>
      <c r="C67" s="205" t="s">
        <v>151</v>
      </c>
      <c r="E67" s="206"/>
      <c r="F67" s="206"/>
      <c r="G67" s="206"/>
    </row>
    <row r="68" spans="1:14" ht="15" customHeight="1" x14ac:dyDescent="0.25">
      <c r="A68" s="140"/>
      <c r="B68" s="207" t="s">
        <v>152</v>
      </c>
      <c r="C68" s="205" t="s">
        <v>153</v>
      </c>
      <c r="E68" s="208"/>
      <c r="F68" s="208"/>
      <c r="G68" s="208"/>
    </row>
    <row r="69" spans="1:14" ht="15" customHeight="1" x14ac:dyDescent="0.25">
      <c r="A69" s="140"/>
      <c r="B69" s="207" t="s">
        <v>154</v>
      </c>
      <c r="C69" s="205" t="s">
        <v>155</v>
      </c>
      <c r="E69" s="206"/>
      <c r="F69" s="206"/>
      <c r="G69" s="206"/>
    </row>
    <row r="70" spans="1:14" ht="15" customHeight="1" x14ac:dyDescent="0.25">
      <c r="A70" s="140"/>
    </row>
    <row r="71" spans="1:14" ht="15" customHeight="1" x14ac:dyDescent="0.25">
      <c r="A71" s="140"/>
      <c r="B71" s="209" t="s">
        <v>156</v>
      </c>
      <c r="C71" s="210"/>
      <c r="D71" s="210"/>
      <c r="E71" s="210"/>
      <c r="F71" s="210"/>
      <c r="G71" s="211" t="s">
        <v>157</v>
      </c>
      <c r="H71" s="212">
        <f>+H83+H95+H105</f>
        <v>244093</v>
      </c>
      <c r="K71" s="35" t="s">
        <v>158</v>
      </c>
      <c r="L71" s="213">
        <v>0.1</v>
      </c>
      <c r="N71" s="214"/>
    </row>
    <row r="72" spans="1:14" ht="15" customHeight="1" x14ac:dyDescent="0.25">
      <c r="A72" s="140"/>
      <c r="B72" s="215" t="s">
        <v>159</v>
      </c>
      <c r="C72" s="114"/>
      <c r="D72" s="114"/>
      <c r="E72" s="114"/>
      <c r="F72" s="114"/>
      <c r="G72" s="122"/>
      <c r="H72" s="216"/>
      <c r="K72" s="35" t="s">
        <v>160</v>
      </c>
      <c r="L72" s="213">
        <v>0.115</v>
      </c>
      <c r="M72" s="53"/>
      <c r="N72" s="214"/>
    </row>
    <row r="73" spans="1:14" ht="15" customHeight="1" x14ac:dyDescent="0.25">
      <c r="A73" s="140"/>
      <c r="B73" s="217" t="s">
        <v>161</v>
      </c>
      <c r="C73" s="114"/>
      <c r="D73" s="114"/>
      <c r="E73" s="53">
        <f>H73-(790000*11.96%)</f>
        <v>3168073</v>
      </c>
      <c r="G73" s="218"/>
      <c r="H73" s="53">
        <f>ROUND(+H53,0)</f>
        <v>3262557</v>
      </c>
      <c r="K73" s="35" t="s">
        <v>162</v>
      </c>
      <c r="L73" s="213">
        <f>11.5%*1.04</f>
        <v>0.11960000000000001</v>
      </c>
    </row>
    <row r="74" spans="1:14" ht="15" customHeight="1" x14ac:dyDescent="0.25">
      <c r="A74" s="140"/>
      <c r="B74" s="217" t="s">
        <v>163</v>
      </c>
      <c r="C74" s="114"/>
      <c r="D74" s="114"/>
      <c r="E74" s="53">
        <f>+H74</f>
        <v>-1624500</v>
      </c>
      <c r="G74" s="218"/>
      <c r="H74" s="53">
        <f>(+G59+G60)*-1</f>
        <v>-1624500</v>
      </c>
    </row>
    <row r="75" spans="1:14" ht="15" customHeight="1" thickBot="1" x14ac:dyDescent="0.3">
      <c r="A75" s="140"/>
      <c r="B75" s="217" t="s">
        <v>164</v>
      </c>
      <c r="C75" s="114"/>
      <c r="D75" s="114"/>
      <c r="E75" s="219">
        <f>SUM(E73:E74)</f>
        <v>1543573</v>
      </c>
      <c r="G75" s="218"/>
      <c r="H75" s="220">
        <f>SUM(H73:H74)</f>
        <v>1638057</v>
      </c>
    </row>
    <row r="76" spans="1:14" ht="15" customHeight="1" thickTop="1" x14ac:dyDescent="0.25">
      <c r="A76" s="140"/>
      <c r="C76" s="114"/>
      <c r="D76" s="114"/>
      <c r="E76" s="53">
        <f>+E75</f>
        <v>1543573</v>
      </c>
      <c r="G76" s="221">
        <f>IF(G75&gt;10000,G75,0)</f>
        <v>0</v>
      </c>
      <c r="H76" s="18">
        <f>+H75</f>
        <v>1638057</v>
      </c>
    </row>
    <row r="77" spans="1:14" ht="19.8" customHeight="1" x14ac:dyDescent="0.25">
      <c r="A77" s="140"/>
      <c r="B77" s="222" t="s">
        <v>165</v>
      </c>
      <c r="C77" s="223" t="s">
        <v>166</v>
      </c>
      <c r="D77" s="223" t="s">
        <v>167</v>
      </c>
      <c r="E77" s="223" t="s">
        <v>168</v>
      </c>
      <c r="F77" s="224" t="s">
        <v>169</v>
      </c>
      <c r="G77" s="225" t="s">
        <v>170</v>
      </c>
      <c r="H77" s="223" t="s">
        <v>171</v>
      </c>
    </row>
    <row r="78" spans="1:14" ht="15" customHeight="1" x14ac:dyDescent="0.25">
      <c r="A78" s="226">
        <v>1</v>
      </c>
      <c r="B78" s="227"/>
      <c r="C78" s="228"/>
      <c r="D78" s="227">
        <v>44362</v>
      </c>
      <c r="E78" s="218">
        <f>(E76*0.15)</f>
        <v>231535.94999999998</v>
      </c>
      <c r="F78" s="218">
        <f>ROUNDDOWN(+E78,-2)</f>
        <v>231500</v>
      </c>
      <c r="G78" s="218">
        <f>(F78-C78)</f>
        <v>231500</v>
      </c>
      <c r="H78" s="229">
        <f>IF(G78&gt;0,G78*0.12/12*3,0)</f>
        <v>6945</v>
      </c>
      <c r="I78" s="230" t="s">
        <v>172</v>
      </c>
      <c r="J78" s="230"/>
      <c r="K78" s="231" t="s">
        <v>173</v>
      </c>
      <c r="M78" s="53"/>
    </row>
    <row r="79" spans="1:14" ht="15" customHeight="1" x14ac:dyDescent="0.25">
      <c r="A79" s="226">
        <v>2</v>
      </c>
      <c r="C79" s="228"/>
      <c r="D79" s="227">
        <v>44454</v>
      </c>
      <c r="E79" s="218">
        <f>H76*0.45</f>
        <v>737125.65</v>
      </c>
      <c r="F79" s="218">
        <f>ROUNDDOWN(+E79,-2)</f>
        <v>737100</v>
      </c>
      <c r="G79" s="218">
        <f>(F79-C79-C78)</f>
        <v>737100</v>
      </c>
      <c r="H79" s="229">
        <f>IF(G79&gt;0,G79*0.12/12*3,0)</f>
        <v>22113</v>
      </c>
      <c r="J79" s="71"/>
      <c r="K79" s="232"/>
      <c r="L79" s="18">
        <f>L77-L78</f>
        <v>0</v>
      </c>
    </row>
    <row r="80" spans="1:14" ht="15" customHeight="1" x14ac:dyDescent="0.25">
      <c r="A80" s="226">
        <v>3</v>
      </c>
      <c r="B80" s="227"/>
      <c r="C80" s="228"/>
      <c r="D80" s="227">
        <v>44545</v>
      </c>
      <c r="E80" s="218">
        <f>H76*0.75</f>
        <v>1228542.75</v>
      </c>
      <c r="F80" s="218">
        <f>ROUNDDOWN(+E80,-2)</f>
        <v>1228500</v>
      </c>
      <c r="G80" s="218">
        <f>(F80-(C78+C79+C80))</f>
        <v>1228500</v>
      </c>
      <c r="H80" s="229">
        <f>IF(G80&gt;0,G80*0.12/12*3,0)</f>
        <v>36855</v>
      </c>
      <c r="J80" s="71" t="s">
        <v>174</v>
      </c>
      <c r="K80" s="232">
        <f>+H83</f>
        <v>82293</v>
      </c>
    </row>
    <row r="81" spans="1:13" ht="15" customHeight="1" x14ac:dyDescent="0.25">
      <c r="A81" s="226">
        <v>4</v>
      </c>
      <c r="B81" s="227"/>
      <c r="C81" s="228"/>
      <c r="D81" s="227">
        <v>44635</v>
      </c>
      <c r="E81" s="218">
        <f>H76*1</f>
        <v>1638057</v>
      </c>
      <c r="F81" s="218">
        <f>ROUNDDOWN(+E81,-2)</f>
        <v>1638000</v>
      </c>
      <c r="G81" s="218">
        <f>(F81-(C78+C79+C80+C81))</f>
        <v>1638000</v>
      </c>
      <c r="H81" s="229">
        <f>IF(G81&gt;0,G81*0.12/12,0)</f>
        <v>16380</v>
      </c>
      <c r="J81" s="71" t="s">
        <v>175</v>
      </c>
      <c r="K81" s="232">
        <f>+K80</f>
        <v>82293</v>
      </c>
      <c r="L81" s="17"/>
    </row>
    <row r="82" spans="1:13" ht="15" customHeight="1" x14ac:dyDescent="0.25">
      <c r="A82" s="226">
        <v>5</v>
      </c>
      <c r="B82" s="227">
        <v>44276</v>
      </c>
      <c r="C82" s="228">
        <f>+G58</f>
        <v>20000</v>
      </c>
      <c r="D82" s="227">
        <v>44651</v>
      </c>
      <c r="F82" s="233"/>
      <c r="G82" s="234"/>
      <c r="H82" s="232"/>
      <c r="M82" s="53"/>
    </row>
    <row r="83" spans="1:13" ht="15" customHeight="1" thickBot="1" x14ac:dyDescent="0.3">
      <c r="A83" s="140"/>
      <c r="B83" s="114"/>
      <c r="C83" s="235">
        <f>SUM(C78:C82)</f>
        <v>20000</v>
      </c>
      <c r="D83" s="114"/>
      <c r="E83" s="114"/>
      <c r="F83" s="114"/>
      <c r="G83" s="114"/>
      <c r="H83" s="236">
        <f>SUM(H78:H82)</f>
        <v>82293</v>
      </c>
      <c r="J83" s="17"/>
    </row>
    <row r="84" spans="1:13" ht="15" customHeight="1" thickTop="1" thickBot="1" x14ac:dyDescent="0.3">
      <c r="A84" s="237"/>
      <c r="B84" s="238"/>
      <c r="C84" s="239"/>
      <c r="D84" s="238"/>
      <c r="E84" s="238"/>
      <c r="F84" s="238"/>
      <c r="G84" s="238"/>
      <c r="H84" s="238"/>
      <c r="J84" s="17"/>
    </row>
    <row r="85" spans="1:13" ht="15" customHeight="1" x14ac:dyDescent="0.25">
      <c r="A85" s="140"/>
      <c r="B85" s="215" t="s">
        <v>176</v>
      </c>
      <c r="C85" s="240"/>
      <c r="D85" s="114"/>
      <c r="E85" s="114"/>
      <c r="F85" s="114"/>
      <c r="G85" s="114"/>
      <c r="H85" s="206" t="s">
        <v>171</v>
      </c>
      <c r="J85" s="17"/>
    </row>
    <row r="86" spans="1:13" ht="15" customHeight="1" x14ac:dyDescent="0.25">
      <c r="A86" s="140"/>
      <c r="B86" s="217" t="s">
        <v>161</v>
      </c>
      <c r="C86" s="114"/>
      <c r="D86" s="114"/>
      <c r="E86" s="218">
        <f>+H73</f>
        <v>3262557</v>
      </c>
      <c r="F86" s="114"/>
      <c r="G86" s="241">
        <v>44652</v>
      </c>
      <c r="H86" s="229">
        <f>F92*0.01</f>
        <v>16180</v>
      </c>
      <c r="J86" s="17"/>
    </row>
    <row r="87" spans="1:13" ht="15" customHeight="1" x14ac:dyDescent="0.25">
      <c r="A87" s="140"/>
      <c r="B87" s="242" t="s">
        <v>163</v>
      </c>
      <c r="C87" s="114"/>
      <c r="D87" s="114"/>
      <c r="E87" s="218">
        <f>+H74</f>
        <v>-1624500</v>
      </c>
      <c r="F87" s="114"/>
      <c r="G87" s="241">
        <v>44682</v>
      </c>
      <c r="H87" s="229">
        <f>F96*0.01</f>
        <v>16180</v>
      </c>
      <c r="J87" s="17"/>
    </row>
    <row r="88" spans="1:13" ht="15" customHeight="1" thickBot="1" x14ac:dyDescent="0.3">
      <c r="A88" s="140"/>
      <c r="B88" s="242"/>
      <c r="C88" s="114"/>
      <c r="D88" s="114"/>
      <c r="E88" s="243">
        <f>E86+E87</f>
        <v>1638057</v>
      </c>
      <c r="G88" s="241">
        <v>44713</v>
      </c>
      <c r="H88" s="229">
        <f t="shared" ref="H88:H92" si="0">+H87</f>
        <v>16180</v>
      </c>
      <c r="J88" s="17"/>
    </row>
    <row r="89" spans="1:13" ht="15" customHeight="1" thickTop="1" x14ac:dyDescent="0.25">
      <c r="A89" s="140"/>
      <c r="F89" s="114"/>
      <c r="G89" s="241">
        <v>44743</v>
      </c>
      <c r="H89" s="229">
        <f t="shared" si="0"/>
        <v>16180</v>
      </c>
      <c r="J89" s="17"/>
    </row>
    <row r="90" spans="1:13" ht="15" customHeight="1" x14ac:dyDescent="0.25">
      <c r="A90" s="140"/>
      <c r="B90" s="114" t="s">
        <v>177</v>
      </c>
      <c r="C90" s="240"/>
      <c r="D90" s="244">
        <v>0.9</v>
      </c>
      <c r="E90" s="245">
        <f>ROUND(E88*90%,0)</f>
        <v>1474251</v>
      </c>
      <c r="F90" s="114"/>
      <c r="G90" s="241">
        <v>44774</v>
      </c>
      <c r="H90" s="229">
        <f t="shared" si="0"/>
        <v>16180</v>
      </c>
      <c r="J90" s="17"/>
    </row>
    <row r="91" spans="1:13" ht="15" customHeight="1" x14ac:dyDescent="0.25">
      <c r="A91" s="140"/>
      <c r="B91" s="114" t="s">
        <v>178</v>
      </c>
      <c r="C91" s="240"/>
      <c r="D91" s="114"/>
      <c r="E91" s="218">
        <f>ROUND(+C83,0)</f>
        <v>20000</v>
      </c>
      <c r="F91" s="114"/>
      <c r="G91" s="241">
        <v>44805</v>
      </c>
      <c r="H91" s="229">
        <f t="shared" si="0"/>
        <v>16180</v>
      </c>
      <c r="I91" s="246" t="s">
        <v>172</v>
      </c>
      <c r="J91" s="246"/>
      <c r="K91" s="247" t="s">
        <v>179</v>
      </c>
    </row>
    <row r="92" spans="1:13" ht="15" customHeight="1" x14ac:dyDescent="0.25">
      <c r="A92" s="140"/>
      <c r="B92" s="18" t="s">
        <v>180</v>
      </c>
      <c r="C92" s="240"/>
      <c r="D92" s="114"/>
      <c r="E92" s="218">
        <f>E88-E91</f>
        <v>1618057</v>
      </c>
      <c r="F92" s="218">
        <f>ROUNDDOWN(E92,-2)</f>
        <v>1618000</v>
      </c>
      <c r="G92" s="241">
        <v>44835</v>
      </c>
      <c r="H92" s="229">
        <f t="shared" si="0"/>
        <v>16180</v>
      </c>
      <c r="J92" s="30"/>
      <c r="K92" s="248"/>
    </row>
    <row r="93" spans="1:13" ht="15" customHeight="1" x14ac:dyDescent="0.25">
      <c r="A93" s="140"/>
      <c r="B93" s="140"/>
      <c r="C93" s="114" t="s">
        <v>181</v>
      </c>
      <c r="D93" s="114"/>
      <c r="E93" s="249">
        <f>+G61</f>
        <v>86000</v>
      </c>
      <c r="F93" s="114"/>
      <c r="G93" s="241">
        <v>44866</v>
      </c>
      <c r="H93" s="229"/>
      <c r="J93" s="30" t="s">
        <v>174</v>
      </c>
      <c r="K93" s="248">
        <f>F96*0.01*8</f>
        <v>129440</v>
      </c>
    </row>
    <row r="94" spans="1:13" ht="15" customHeight="1" x14ac:dyDescent="0.25">
      <c r="A94" s="140"/>
      <c r="C94" s="38" t="s">
        <v>182</v>
      </c>
      <c r="E94" s="250">
        <v>86000</v>
      </c>
      <c r="F94" s="114"/>
      <c r="G94" s="241">
        <v>44896</v>
      </c>
      <c r="H94" s="251"/>
      <c r="J94" s="30" t="s">
        <v>175</v>
      </c>
      <c r="K94" s="248">
        <f>K93+F96*0.01</f>
        <v>145620</v>
      </c>
    </row>
    <row r="95" spans="1:13" ht="15" customHeight="1" thickBot="1" x14ac:dyDescent="0.3">
      <c r="A95" s="140"/>
      <c r="C95" s="217" t="s">
        <v>183</v>
      </c>
      <c r="E95" s="252">
        <f>+E92</f>
        <v>1618057</v>
      </c>
      <c r="F95" s="114"/>
      <c r="G95" s="114"/>
      <c r="H95" s="236">
        <f>SUM(H86:H94)</f>
        <v>113260</v>
      </c>
      <c r="J95" s="17"/>
    </row>
    <row r="96" spans="1:13" ht="15" customHeight="1" thickTop="1" x14ac:dyDescent="0.25">
      <c r="A96" s="140"/>
      <c r="B96" s="18" t="s">
        <v>184</v>
      </c>
      <c r="C96" s="217"/>
      <c r="E96" s="253">
        <f>+E95</f>
        <v>1618057</v>
      </c>
      <c r="F96" s="218">
        <f>ROUNDDOWN(E96,-2)</f>
        <v>1618000</v>
      </c>
      <c r="G96" s="114"/>
      <c r="H96" s="251"/>
      <c r="J96" s="17"/>
    </row>
    <row r="97" spans="1:12" ht="15" customHeight="1" thickBot="1" x14ac:dyDescent="0.3">
      <c r="A97" s="237"/>
      <c r="B97" s="254"/>
      <c r="C97" s="255"/>
      <c r="D97" s="254"/>
      <c r="E97" s="256"/>
      <c r="F97" s="257"/>
      <c r="G97" s="238"/>
      <c r="H97" s="258"/>
      <c r="J97" s="17"/>
    </row>
    <row r="98" spans="1:12" ht="15" customHeight="1" x14ac:dyDescent="0.25">
      <c r="A98" s="140"/>
      <c r="B98" s="215" t="s">
        <v>185</v>
      </c>
      <c r="C98" s="259"/>
      <c r="D98" s="259"/>
      <c r="E98" s="259"/>
      <c r="F98" s="259"/>
      <c r="G98" s="259"/>
      <c r="H98" s="259"/>
      <c r="I98" s="259"/>
      <c r="J98" s="251"/>
    </row>
    <row r="99" spans="1:12" ht="15" customHeight="1" x14ac:dyDescent="0.25">
      <c r="A99" s="140"/>
      <c r="B99" s="217" t="s">
        <v>161</v>
      </c>
      <c r="C99" s="114"/>
      <c r="D99" s="114"/>
      <c r="E99" s="218">
        <f>+H73</f>
        <v>3262557</v>
      </c>
      <c r="F99" s="259"/>
      <c r="G99" s="114"/>
      <c r="H99" s="206" t="s">
        <v>171</v>
      </c>
      <c r="I99" s="259"/>
      <c r="J99" s="251"/>
    </row>
    <row r="100" spans="1:12" ht="15" customHeight="1" x14ac:dyDescent="0.25">
      <c r="A100" s="140"/>
      <c r="B100" s="242" t="s">
        <v>163</v>
      </c>
      <c r="C100" s="114"/>
      <c r="D100" s="114"/>
      <c r="E100" s="218">
        <f>+H74</f>
        <v>-1624500</v>
      </c>
      <c r="F100" s="259"/>
      <c r="G100" s="241">
        <v>44774</v>
      </c>
      <c r="H100" s="229">
        <f>F106*0.01</f>
        <v>16180</v>
      </c>
      <c r="I100" s="259"/>
      <c r="J100" s="251"/>
    </row>
    <row r="101" spans="1:12" ht="15" customHeight="1" x14ac:dyDescent="0.25">
      <c r="A101" s="140"/>
      <c r="B101" s="242" t="s">
        <v>186</v>
      </c>
      <c r="C101" s="114"/>
      <c r="D101" s="114"/>
      <c r="E101" s="253">
        <f>+G58*-1</f>
        <v>-20000</v>
      </c>
      <c r="F101" s="259"/>
      <c r="G101" s="241">
        <v>44805</v>
      </c>
      <c r="H101" s="229">
        <f>+H100</f>
        <v>16180</v>
      </c>
      <c r="I101" s="260" t="s">
        <v>172</v>
      </c>
      <c r="J101" s="260"/>
      <c r="K101" s="261" t="s">
        <v>187</v>
      </c>
    </row>
    <row r="102" spans="1:12" ht="15" customHeight="1" x14ac:dyDescent="0.25">
      <c r="A102" s="140"/>
      <c r="B102" s="242" t="s">
        <v>188</v>
      </c>
      <c r="C102" s="114"/>
      <c r="D102" s="114"/>
      <c r="E102" s="262"/>
      <c r="F102" s="259"/>
      <c r="G102" s="241">
        <v>44835</v>
      </c>
      <c r="H102" s="229">
        <f>+H101</f>
        <v>16180</v>
      </c>
      <c r="I102" s="259"/>
      <c r="J102" s="263"/>
      <c r="K102" s="264"/>
    </row>
    <row r="103" spans="1:12" ht="15" customHeight="1" x14ac:dyDescent="0.25">
      <c r="A103" s="140"/>
      <c r="B103" s="242"/>
      <c r="C103" s="114"/>
      <c r="D103" s="114"/>
      <c r="E103" s="262"/>
      <c r="F103" s="259"/>
      <c r="G103" s="241">
        <v>44866</v>
      </c>
      <c r="H103" s="229"/>
      <c r="I103" s="259"/>
      <c r="J103" s="263" t="s">
        <v>174</v>
      </c>
      <c r="K103" s="264">
        <f>F106*0.04</f>
        <v>64720</v>
      </c>
    </row>
    <row r="104" spans="1:12" ht="15" customHeight="1" x14ac:dyDescent="0.25">
      <c r="A104" s="140"/>
      <c r="B104" s="242"/>
      <c r="C104" s="114"/>
      <c r="D104" s="114"/>
      <c r="E104" s="53"/>
      <c r="F104" s="259"/>
      <c r="G104" s="241">
        <v>44896</v>
      </c>
      <c r="H104" s="229"/>
      <c r="I104" s="259"/>
      <c r="J104" s="263" t="s">
        <v>175</v>
      </c>
      <c r="K104" s="264">
        <f>F106*0.05</f>
        <v>80900</v>
      </c>
    </row>
    <row r="105" spans="1:12" ht="15" customHeight="1" thickBot="1" x14ac:dyDescent="0.3">
      <c r="A105" s="140"/>
      <c r="E105" s="243">
        <f>SUM(E99:E104)</f>
        <v>1618057</v>
      </c>
      <c r="F105" s="259"/>
      <c r="G105" s="265"/>
      <c r="H105" s="236">
        <f>SUM(H100:H104)</f>
        <v>48540</v>
      </c>
      <c r="I105" s="259"/>
      <c r="J105" s="251"/>
    </row>
    <row r="106" spans="1:12" ht="15" customHeight="1" thickTop="1" x14ac:dyDescent="0.25">
      <c r="A106" s="140"/>
      <c r="C106" s="114"/>
      <c r="D106" s="114"/>
      <c r="E106" s="218">
        <f>ROUNDDOWN(+E105,-2)</f>
        <v>1618000</v>
      </c>
      <c r="F106" s="218">
        <f>ROUNDDOWN(E106,-2)</f>
        <v>1618000</v>
      </c>
      <c r="G106" s="259"/>
      <c r="H106" s="259"/>
      <c r="I106" s="259"/>
      <c r="J106" s="251"/>
    </row>
    <row r="107" spans="1:12" ht="15" customHeight="1" x14ac:dyDescent="0.25">
      <c r="A107" s="140"/>
      <c r="C107" s="114"/>
      <c r="D107" s="114"/>
      <c r="E107" s="218"/>
      <c r="F107" s="218"/>
      <c r="G107" s="259"/>
      <c r="H107" s="259"/>
      <c r="I107" s="259"/>
      <c r="J107" s="251"/>
    </row>
    <row r="108" spans="1:12" ht="15" customHeight="1" thickBot="1" x14ac:dyDescent="0.3">
      <c r="A108" s="140"/>
      <c r="C108" s="114"/>
      <c r="D108" s="114"/>
      <c r="E108" s="218"/>
      <c r="F108" s="259"/>
      <c r="G108" s="259"/>
      <c r="H108" s="259"/>
      <c r="I108" s="259"/>
      <c r="J108" s="251"/>
    </row>
    <row r="109" spans="1:12" s="63" customFormat="1" ht="15" customHeight="1" x14ac:dyDescent="0.25">
      <c r="A109" s="266" t="s">
        <v>189</v>
      </c>
      <c r="B109" s="267"/>
      <c r="C109" s="267"/>
      <c r="D109" s="267"/>
      <c r="E109" s="267"/>
      <c r="F109" s="267"/>
      <c r="G109" s="268" t="s">
        <v>190</v>
      </c>
      <c r="H109" s="269"/>
      <c r="J109" s="94"/>
      <c r="K109" s="270"/>
      <c r="L109" s="217"/>
    </row>
    <row r="110" spans="1:12" s="63" customFormat="1" ht="15" customHeight="1" x14ac:dyDescent="0.25">
      <c r="A110" s="271" t="s">
        <v>191</v>
      </c>
      <c r="H110" s="137"/>
      <c r="J110" s="94"/>
      <c r="K110" s="272"/>
      <c r="L110" s="217"/>
    </row>
    <row r="111" spans="1:12" s="63" customFormat="1" ht="15" customHeight="1" x14ac:dyDescent="0.25">
      <c r="A111" s="271" t="s">
        <v>192</v>
      </c>
      <c r="H111" s="137"/>
      <c r="J111" s="94"/>
      <c r="K111" s="272"/>
      <c r="L111" s="217"/>
    </row>
    <row r="112" spans="1:12" s="63" customFormat="1" ht="15" customHeight="1" x14ac:dyDescent="0.2">
      <c r="A112" s="273" t="s">
        <v>193</v>
      </c>
      <c r="B112" s="274" t="s">
        <v>194</v>
      </c>
      <c r="C112" s="274"/>
      <c r="D112" s="274"/>
      <c r="E112" s="274"/>
      <c r="F112" s="274"/>
      <c r="G112" s="274"/>
      <c r="H112" s="275"/>
      <c r="I112" s="39"/>
      <c r="J112" s="94"/>
      <c r="K112" s="276" t="s">
        <v>195</v>
      </c>
      <c r="L112" s="217"/>
    </row>
    <row r="113" spans="1:12" s="63" customFormat="1" ht="26.25" customHeight="1" x14ac:dyDescent="0.2">
      <c r="A113" s="273" t="s">
        <v>196</v>
      </c>
      <c r="B113" s="274" t="s">
        <v>197</v>
      </c>
      <c r="C113" s="274"/>
      <c r="D113" s="274"/>
      <c r="E113" s="274"/>
      <c r="F113" s="274"/>
      <c r="G113" s="274"/>
      <c r="H113" s="275"/>
      <c r="I113" s="39"/>
      <c r="J113" s="94"/>
      <c r="K113" s="276" t="s">
        <v>198</v>
      </c>
      <c r="L113" s="217"/>
    </row>
    <row r="114" spans="1:12" s="63" customFormat="1" ht="26.25" customHeight="1" x14ac:dyDescent="0.2">
      <c r="A114" s="273" t="s">
        <v>199</v>
      </c>
      <c r="B114" s="274" t="s">
        <v>200</v>
      </c>
      <c r="C114" s="274"/>
      <c r="D114" s="274"/>
      <c r="E114" s="274"/>
      <c r="F114" s="274"/>
      <c r="G114" s="274"/>
      <c r="H114" s="275"/>
      <c r="I114" s="39"/>
      <c r="J114" s="94"/>
      <c r="K114" s="276" t="s">
        <v>201</v>
      </c>
      <c r="L114" s="217"/>
    </row>
    <row r="115" spans="1:12" s="63" customFormat="1" ht="26.25" customHeight="1" x14ac:dyDescent="0.2">
      <c r="A115" s="273" t="s">
        <v>202</v>
      </c>
      <c r="B115" s="274" t="s">
        <v>203</v>
      </c>
      <c r="C115" s="274"/>
      <c r="D115" s="274"/>
      <c r="E115" s="274"/>
      <c r="F115" s="274"/>
      <c r="G115" s="274"/>
      <c r="H115" s="275"/>
      <c r="I115" s="39"/>
      <c r="J115" s="94"/>
      <c r="K115" s="276" t="s">
        <v>204</v>
      </c>
      <c r="L115" s="217"/>
    </row>
    <row r="116" spans="1:12" s="63" customFormat="1" ht="15" customHeight="1" x14ac:dyDescent="0.2">
      <c r="A116" s="273" t="s">
        <v>205</v>
      </c>
      <c r="B116" s="274" t="s">
        <v>206</v>
      </c>
      <c r="C116" s="274"/>
      <c r="D116" s="274"/>
      <c r="E116" s="274"/>
      <c r="F116" s="274"/>
      <c r="G116" s="274"/>
      <c r="H116" s="275"/>
      <c r="I116" s="39"/>
      <c r="J116" s="94"/>
      <c r="K116" s="276" t="s">
        <v>207</v>
      </c>
      <c r="L116" s="217"/>
    </row>
    <row r="117" spans="1:12" s="63" customFormat="1" ht="15" customHeight="1" x14ac:dyDescent="0.2">
      <c r="A117" s="273" t="s">
        <v>208</v>
      </c>
      <c r="B117" s="274" t="s">
        <v>209</v>
      </c>
      <c r="C117" s="274"/>
      <c r="D117" s="274"/>
      <c r="E117" s="274"/>
      <c r="F117" s="274"/>
      <c r="G117" s="274"/>
      <c r="H117" s="275"/>
      <c r="I117" s="39"/>
      <c r="J117" s="94"/>
      <c r="K117" s="276" t="s">
        <v>210</v>
      </c>
      <c r="L117" s="217"/>
    </row>
    <row r="118" spans="1:12" s="63" customFormat="1" ht="25.5" customHeight="1" x14ac:dyDescent="0.2">
      <c r="A118" s="277"/>
      <c r="B118" s="278" t="s">
        <v>211</v>
      </c>
      <c r="C118" s="278"/>
      <c r="D118" s="278"/>
      <c r="E118" s="278"/>
      <c r="F118" s="278"/>
      <c r="G118" s="278"/>
      <c r="H118" s="279"/>
      <c r="J118" s="94"/>
    </row>
    <row r="119" spans="1:12" s="63" customFormat="1" ht="15" customHeight="1" thickBot="1" x14ac:dyDescent="0.25">
      <c r="A119" s="280"/>
      <c r="B119" s="281" t="s">
        <v>212</v>
      </c>
      <c r="C119" s="281"/>
      <c r="D119" s="281"/>
      <c r="E119" s="281"/>
      <c r="F119" s="281"/>
      <c r="G119" s="281"/>
      <c r="H119" s="282"/>
      <c r="J119" s="94"/>
    </row>
    <row r="120" spans="1:12" s="63" customFormat="1" ht="15" customHeight="1" thickBot="1" x14ac:dyDescent="0.25">
      <c r="A120" s="283"/>
      <c r="B120" s="284"/>
      <c r="C120" s="284"/>
      <c r="D120" s="284"/>
      <c r="E120" s="284"/>
      <c r="F120" s="284"/>
      <c r="G120" s="284"/>
      <c r="J120" s="94"/>
    </row>
    <row r="121" spans="1:12" s="63" customFormat="1" ht="15" customHeight="1" x14ac:dyDescent="0.25">
      <c r="A121" s="266" t="s">
        <v>189</v>
      </c>
      <c r="B121" s="285"/>
      <c r="C121" s="285"/>
      <c r="D121" s="285"/>
      <c r="E121" s="285"/>
      <c r="F121" s="285"/>
      <c r="G121" s="286" t="s">
        <v>213</v>
      </c>
      <c r="H121" s="287"/>
      <c r="J121" s="94"/>
    </row>
    <row r="122" spans="1:12" ht="15" customHeight="1" x14ac:dyDescent="0.25">
      <c r="A122" s="271" t="s">
        <v>214</v>
      </c>
      <c r="F122" s="288"/>
      <c r="G122" s="35"/>
      <c r="H122" s="148"/>
      <c r="J122" s="94"/>
    </row>
    <row r="123" spans="1:12" ht="15" customHeight="1" x14ac:dyDescent="0.25">
      <c r="A123" s="271" t="s">
        <v>215</v>
      </c>
      <c r="F123" s="288"/>
      <c r="G123" s="35"/>
      <c r="H123" s="148"/>
      <c r="J123" s="94"/>
    </row>
    <row r="124" spans="1:12" ht="15" customHeight="1" x14ac:dyDescent="0.25">
      <c r="A124" s="289"/>
      <c r="B124" s="63" t="s">
        <v>216</v>
      </c>
      <c r="D124" s="63" t="s">
        <v>217</v>
      </c>
      <c r="F124" s="288"/>
      <c r="G124" s="35"/>
      <c r="H124" s="148"/>
      <c r="J124" s="94"/>
    </row>
    <row r="125" spans="1:12" ht="15" customHeight="1" x14ac:dyDescent="0.25">
      <c r="A125" s="289"/>
      <c r="B125" s="63" t="s">
        <v>218</v>
      </c>
      <c r="D125" s="63" t="s">
        <v>219</v>
      </c>
      <c r="F125" s="288"/>
      <c r="G125" s="35"/>
      <c r="H125" s="148"/>
      <c r="J125" s="94"/>
    </row>
    <row r="126" spans="1:12" ht="15" customHeight="1" x14ac:dyDescent="0.25">
      <c r="A126" s="289"/>
      <c r="B126" s="63" t="s">
        <v>220</v>
      </c>
      <c r="D126" s="63" t="s">
        <v>221</v>
      </c>
      <c r="F126" s="288"/>
      <c r="G126" s="35"/>
      <c r="H126" s="148"/>
      <c r="J126" s="94"/>
    </row>
    <row r="127" spans="1:12" ht="15" customHeight="1" x14ac:dyDescent="0.25">
      <c r="A127" s="289"/>
      <c r="B127" s="38" t="s">
        <v>222</v>
      </c>
      <c r="D127" s="63" t="s">
        <v>223</v>
      </c>
      <c r="F127" s="288"/>
      <c r="G127" s="35"/>
      <c r="H127" s="148"/>
      <c r="J127" s="94"/>
    </row>
    <row r="128" spans="1:12" ht="15" customHeight="1" x14ac:dyDescent="0.25">
      <c r="A128" s="289"/>
      <c r="B128" s="63" t="s">
        <v>224</v>
      </c>
      <c r="D128" s="63" t="s">
        <v>225</v>
      </c>
      <c r="F128" s="288"/>
      <c r="G128" s="35"/>
      <c r="H128" s="148"/>
      <c r="J128" s="94"/>
    </row>
    <row r="129" spans="1:10" ht="15" customHeight="1" x14ac:dyDescent="0.25">
      <c r="A129" s="289"/>
      <c r="B129" s="63" t="s">
        <v>226</v>
      </c>
      <c r="D129" s="63" t="s">
        <v>227</v>
      </c>
      <c r="F129" s="288"/>
      <c r="G129" s="35"/>
      <c r="H129" s="148"/>
      <c r="J129" s="17"/>
    </row>
    <row r="130" spans="1:10" ht="15" customHeight="1" x14ac:dyDescent="0.25">
      <c r="A130" s="289"/>
      <c r="B130" s="38" t="s">
        <v>228</v>
      </c>
      <c r="D130" s="63" t="s">
        <v>229</v>
      </c>
      <c r="F130" s="288"/>
      <c r="G130" s="35"/>
      <c r="H130" s="148"/>
      <c r="J130" s="17"/>
    </row>
    <row r="131" spans="1:10" ht="15" customHeight="1" thickBot="1" x14ac:dyDescent="0.3">
      <c r="A131" s="290"/>
      <c r="B131" s="291" t="s">
        <v>230</v>
      </c>
      <c r="C131" s="254"/>
      <c r="D131" s="291" t="s">
        <v>231</v>
      </c>
      <c r="E131" s="254"/>
      <c r="F131" s="254"/>
      <c r="G131" s="254"/>
      <c r="H131" s="292"/>
      <c r="J131" s="17"/>
    </row>
    <row r="132" spans="1:10" ht="15" customHeight="1" thickBot="1" x14ac:dyDescent="0.3">
      <c r="A132" s="140"/>
      <c r="J132" s="17"/>
    </row>
    <row r="133" spans="1:10" ht="15" customHeight="1" x14ac:dyDescent="0.25">
      <c r="A133" s="140"/>
      <c r="B133" s="293" t="s">
        <v>232</v>
      </c>
      <c r="C133" s="294"/>
      <c r="D133" s="295"/>
      <c r="E133" s="296" t="s">
        <v>233</v>
      </c>
      <c r="F133" s="297"/>
      <c r="G133" s="296" t="s">
        <v>234</v>
      </c>
      <c r="H133" s="298"/>
      <c r="J133" s="17"/>
    </row>
    <row r="134" spans="1:10" ht="15" customHeight="1" x14ac:dyDescent="0.25">
      <c r="A134" s="140"/>
      <c r="B134" s="299" t="s">
        <v>15</v>
      </c>
      <c r="C134" s="114"/>
      <c r="D134" s="206"/>
      <c r="E134" s="138" t="s">
        <v>235</v>
      </c>
      <c r="G134" s="138" t="s">
        <v>236</v>
      </c>
      <c r="H134" s="148"/>
      <c r="J134" s="17"/>
    </row>
    <row r="135" spans="1:10" ht="15" customHeight="1" x14ac:dyDescent="0.25">
      <c r="A135" s="140"/>
      <c r="B135" s="299" t="s">
        <v>237</v>
      </c>
      <c r="C135" s="114"/>
      <c r="D135" s="206"/>
      <c r="E135" s="138" t="s">
        <v>238</v>
      </c>
      <c r="G135" s="138" t="s">
        <v>239</v>
      </c>
      <c r="H135" s="148"/>
      <c r="J135" s="17"/>
    </row>
    <row r="136" spans="1:10" ht="15" customHeight="1" x14ac:dyDescent="0.25">
      <c r="A136" s="140"/>
      <c r="B136" s="299" t="s">
        <v>240</v>
      </c>
      <c r="C136" s="114"/>
      <c r="D136" s="206"/>
      <c r="E136" s="138" t="s">
        <v>241</v>
      </c>
      <c r="H136" s="148"/>
      <c r="J136" s="17"/>
    </row>
    <row r="137" spans="1:10" ht="15" customHeight="1" x14ac:dyDescent="0.25">
      <c r="A137" s="140"/>
      <c r="B137" s="299" t="s">
        <v>242</v>
      </c>
      <c r="C137" s="114"/>
      <c r="D137" s="206"/>
      <c r="E137" s="138" t="s">
        <v>243</v>
      </c>
      <c r="H137" s="148"/>
      <c r="J137" s="17"/>
    </row>
    <row r="138" spans="1:10" ht="15" customHeight="1" x14ac:dyDescent="0.25">
      <c r="A138" s="140"/>
      <c r="B138" s="299" t="s">
        <v>244</v>
      </c>
      <c r="C138" s="114"/>
      <c r="D138" s="206"/>
      <c r="H138" s="148"/>
      <c r="J138" s="17"/>
    </row>
    <row r="139" spans="1:10" ht="15" customHeight="1" x14ac:dyDescent="0.25">
      <c r="A139" s="140"/>
      <c r="B139" s="299" t="s">
        <v>245</v>
      </c>
      <c r="C139" s="114"/>
      <c r="D139" s="206"/>
      <c r="H139" s="148"/>
      <c r="J139" s="17"/>
    </row>
    <row r="140" spans="1:10" ht="15" customHeight="1" x14ac:dyDescent="0.25">
      <c r="A140" s="140"/>
      <c r="B140" s="299" t="s">
        <v>246</v>
      </c>
      <c r="C140" s="114"/>
      <c r="D140" s="300">
        <f>SUM(C134:C140)</f>
        <v>0</v>
      </c>
      <c r="H140" s="148"/>
      <c r="J140" s="17"/>
    </row>
    <row r="141" spans="1:10" ht="15" customHeight="1" x14ac:dyDescent="0.25">
      <c r="A141" s="140"/>
      <c r="B141" s="301" t="s">
        <v>247</v>
      </c>
      <c r="C141" s="114"/>
      <c r="E141" s="302"/>
      <c r="H141" s="148"/>
      <c r="J141" s="17"/>
    </row>
    <row r="142" spans="1:10" ht="15" customHeight="1" x14ac:dyDescent="0.25">
      <c r="A142" s="140"/>
      <c r="B142" s="299" t="s">
        <v>248</v>
      </c>
      <c r="C142" s="303"/>
      <c r="H142" s="148"/>
      <c r="J142" s="17"/>
    </row>
    <row r="143" spans="1:10" ht="15" customHeight="1" x14ac:dyDescent="0.25">
      <c r="A143" s="140"/>
      <c r="B143" s="299" t="s">
        <v>249</v>
      </c>
      <c r="C143" s="303"/>
      <c r="H143" s="148"/>
      <c r="J143" s="17"/>
    </row>
    <row r="144" spans="1:10" ht="15" customHeight="1" x14ac:dyDescent="0.25">
      <c r="A144" s="140"/>
      <c r="B144" s="299" t="s">
        <v>250</v>
      </c>
      <c r="C144" s="303"/>
      <c r="D144" s="18">
        <f>SUM(C142:C144)</f>
        <v>0</v>
      </c>
      <c r="H144" s="148"/>
      <c r="J144" s="17"/>
    </row>
    <row r="145" spans="1:11" ht="15" customHeight="1" thickBot="1" x14ac:dyDescent="0.3">
      <c r="A145" s="140"/>
      <c r="B145" s="304" t="s">
        <v>251</v>
      </c>
      <c r="C145" s="305"/>
      <c r="D145" s="306"/>
      <c r="E145" s="254"/>
      <c r="F145" s="254"/>
      <c r="G145" s="254"/>
      <c r="H145" s="292"/>
      <c r="J145" s="17"/>
    </row>
    <row r="146" spans="1:11" ht="15" customHeight="1" x14ac:dyDescent="0.25">
      <c r="A146" s="140"/>
      <c r="D146" s="133">
        <f>D140+D144+D145</f>
        <v>0</v>
      </c>
      <c r="J146" s="17"/>
    </row>
    <row r="147" spans="1:11" ht="15" customHeight="1" x14ac:dyDescent="0.25">
      <c r="A147" s="140"/>
      <c r="F147" s="218"/>
      <c r="G147" s="218"/>
      <c r="H147" s="218"/>
      <c r="I147" s="229"/>
      <c r="J147" s="94"/>
      <c r="K147" s="69">
        <f>H147*0.03</f>
        <v>0</v>
      </c>
    </row>
    <row r="148" spans="1:11" ht="15" customHeight="1" x14ac:dyDescent="0.25">
      <c r="A148" s="140"/>
      <c r="H148" s="53"/>
      <c r="K148" s="69"/>
    </row>
    <row r="149" spans="1:11" ht="15" customHeight="1" x14ac:dyDescent="0.25">
      <c r="A149" s="140"/>
    </row>
    <row r="150" spans="1:11" ht="15" customHeight="1" x14ac:dyDescent="0.25">
      <c r="A150" s="140"/>
      <c r="H150" s="53"/>
    </row>
  </sheetData>
  <mergeCells count="28">
    <mergeCell ref="B118:H118"/>
    <mergeCell ref="B119:G119"/>
    <mergeCell ref="G121:H121"/>
    <mergeCell ref="B112:H112"/>
    <mergeCell ref="B113:H113"/>
    <mergeCell ref="B114:H114"/>
    <mergeCell ref="B115:H115"/>
    <mergeCell ref="B116:H116"/>
    <mergeCell ref="B117:H117"/>
    <mergeCell ref="A64:B64"/>
    <mergeCell ref="F64:I64"/>
    <mergeCell ref="I78:J78"/>
    <mergeCell ref="I91:J91"/>
    <mergeCell ref="I101:J101"/>
    <mergeCell ref="G109:H109"/>
    <mergeCell ref="C58:D58"/>
    <mergeCell ref="C59:D59"/>
    <mergeCell ref="C60:D60"/>
    <mergeCell ref="C61:F61"/>
    <mergeCell ref="B62:E62"/>
    <mergeCell ref="A63:I63"/>
    <mergeCell ref="A1:C1"/>
    <mergeCell ref="D1:H1"/>
    <mergeCell ref="J1:M1"/>
    <mergeCell ref="A2:C2"/>
    <mergeCell ref="F2:G2"/>
    <mergeCell ref="A29:B29"/>
    <mergeCell ref="C29:F29"/>
  </mergeCells>
  <conditionalFormatting sqref="F46">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9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2022-10-12T17:30:56Z</dcterms:created>
  <dcterms:modified xsi:type="dcterms:W3CDTF">2022-10-12T17:31:19Z</dcterms:modified>
</cp:coreProperties>
</file>